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DADUS FINAL SMOP LAUTEM\DADUS ESTRADA ANIVEL MUNICIPIO LAUTEM\"/>
    </mc:Choice>
  </mc:AlternateContent>
  <xr:revisionPtr revIDLastSave="0" documentId="13_ncr:1_{5519FB9D-4E7E-4081-97D5-D40D071D5D83}" xr6:coauthVersionLast="47" xr6:coauthVersionMax="47" xr10:uidLastSave="{00000000-0000-0000-0000-000000000000}"/>
  <bookViews>
    <workbookView xWindow="-110" yWindow="-110" windowWidth="19420" windowHeight="10300" tabRatio="817" firstSheet="3" activeTab="3" xr2:uid="{00000000-000D-0000-FFFF-FFFF00000000}"/>
  </bookViews>
  <sheets>
    <sheet name="Training Part 1(Baucau)" sheetId="13" state="hidden" r:id="rId1"/>
    <sheet name="Training Part 2 (Lautem)" sheetId="12" state="hidden" r:id="rId2"/>
    <sheet name="Training Part 3 (Same)" sheetId="14" state="hidden" r:id="rId3"/>
    <sheet name="Dadus Estrad. Jan-Mar, 26" sheetId="32" r:id="rId4"/>
    <sheet name="POSTU ADM LOSPALOS" sheetId="25" r:id="rId5"/>
    <sheet name="POSTU ADM LURO" sheetId="16" r:id="rId6"/>
    <sheet name="POSTU ADM ILIOMAR" sheetId="28" r:id="rId7"/>
    <sheet name="POSTU ADM LAUTEM" sheetId="24" r:id="rId8"/>
    <sheet name="POSTU ADM LORE" sheetId="27" r:id="rId9"/>
    <sheet name="POSTU ADM TUTUALA" sheetId="26" r:id="rId10"/>
    <sheet name="RRMPIS LAUTEM BUDGET $1M" sheetId="15" state="hidden" r:id="rId11"/>
    <sheet name="RRMPIS LAUTEM BUDGET $1.5M" sheetId="18" state="hidden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9" i="25" l="1"/>
  <c r="A30" i="25" s="1"/>
  <c r="A31" i="25" s="1"/>
  <c r="A32" i="25" s="1"/>
  <c r="A33" i="25" s="1"/>
  <c r="A34" i="25" s="1"/>
  <c r="A35" i="25" s="1"/>
  <c r="A36" i="25" s="1"/>
  <c r="A37" i="25" s="1"/>
  <c r="A38" i="25" s="1"/>
  <c r="A39" i="25" s="1"/>
  <c r="A40" i="25" s="1"/>
  <c r="A41" i="25" s="1"/>
  <c r="A42" i="25" s="1"/>
  <c r="A43" i="25" s="1"/>
  <c r="A28" i="25"/>
  <c r="Z37" i="16"/>
  <c r="Z28" i="25"/>
  <c r="Z29" i="25"/>
  <c r="Z30" i="25"/>
  <c r="Z31" i="25"/>
  <c r="Z32" i="25"/>
  <c r="Z33" i="25"/>
  <c r="Z34" i="25"/>
  <c r="Z35" i="25"/>
  <c r="Z36" i="25"/>
  <c r="Z37" i="25"/>
  <c r="Z38" i="25"/>
  <c r="Z39" i="25"/>
  <c r="Z40" i="25"/>
  <c r="Z41" i="25"/>
  <c r="Z42" i="25"/>
  <c r="Z44" i="25"/>
  <c r="Z45" i="25"/>
  <c r="Z27" i="25"/>
  <c r="Z33" i="26"/>
  <c r="Z28" i="26"/>
  <c r="Z29" i="26"/>
  <c r="Z30" i="26"/>
  <c r="Z31" i="26"/>
  <c r="Z32" i="26"/>
  <c r="Z27" i="26"/>
  <c r="Z35" i="27"/>
  <c r="Z28" i="27"/>
  <c r="Z29" i="27"/>
  <c r="Z30" i="27"/>
  <c r="Z31" i="27"/>
  <c r="Z32" i="27"/>
  <c r="Z33" i="27"/>
  <c r="Z34" i="27"/>
  <c r="Z27" i="27"/>
  <c r="Z48" i="24"/>
  <c r="Z28" i="24"/>
  <c r="Z29" i="24"/>
  <c r="Z30" i="24"/>
  <c r="Z31" i="24"/>
  <c r="Z32" i="24"/>
  <c r="Z33" i="24"/>
  <c r="Z34" i="24"/>
  <c r="Z35" i="24"/>
  <c r="Z36" i="24"/>
  <c r="Z37" i="24"/>
  <c r="Z38" i="24"/>
  <c r="Z39" i="24"/>
  <c r="Z40" i="24"/>
  <c r="Z41" i="24"/>
  <c r="Z42" i="24"/>
  <c r="Z43" i="24"/>
  <c r="Z44" i="24"/>
  <c r="Z45" i="24"/>
  <c r="Z46" i="24"/>
  <c r="Z47" i="24"/>
  <c r="Z27" i="24"/>
  <c r="Z41" i="28"/>
  <c r="Z28" i="28"/>
  <c r="Z29" i="28"/>
  <c r="Z30" i="28"/>
  <c r="Z31" i="28"/>
  <c r="Z32" i="28"/>
  <c r="Z33" i="28"/>
  <c r="Z34" i="28"/>
  <c r="Z35" i="28"/>
  <c r="Z36" i="28"/>
  <c r="Z37" i="28"/>
  <c r="Z38" i="28"/>
  <c r="Z39" i="28"/>
  <c r="Z40" i="28"/>
  <c r="Z27" i="28"/>
  <c r="Z40" i="16"/>
  <c r="Z28" i="16"/>
  <c r="Z29" i="16"/>
  <c r="Z30" i="16"/>
  <c r="Z31" i="16"/>
  <c r="Z32" i="16"/>
  <c r="Z33" i="16"/>
  <c r="Z34" i="16"/>
  <c r="Z35" i="16"/>
  <c r="Z36" i="16"/>
  <c r="Z38" i="16"/>
  <c r="Z39" i="16"/>
  <c r="Z27" i="16"/>
  <c r="V44" i="25"/>
  <c r="Y39" i="16"/>
  <c r="Y38" i="16"/>
  <c r="Y37" i="16"/>
  <c r="V39" i="16"/>
  <c r="V38" i="16"/>
  <c r="V37" i="16"/>
  <c r="W37" i="16"/>
  <c r="X37" i="16"/>
  <c r="O22" i="32"/>
  <c r="M22" i="32"/>
  <c r="K22" i="32"/>
  <c r="I22" i="32"/>
  <c r="O33" i="32"/>
  <c r="M33" i="32"/>
  <c r="K33" i="32"/>
  <c r="I33" i="32"/>
  <c r="O56" i="32"/>
  <c r="M56" i="32"/>
  <c r="K56" i="32"/>
  <c r="I56" i="32"/>
  <c r="F56" i="32"/>
  <c r="P45" i="32" s="1" a="1"/>
  <c r="P45" i="32" s="1"/>
  <c r="P56" i="32" s="1"/>
  <c r="P81" i="32" a="1"/>
  <c r="P81" i="32" s="1"/>
  <c r="P83" i="32" s="1"/>
  <c r="O83" i="32"/>
  <c r="K83" i="32"/>
  <c r="I83" i="32"/>
  <c r="F83" i="32"/>
  <c r="N81" i="32" s="1" a="1"/>
  <c r="N81" i="32" s="1"/>
  <c r="N83" i="32" s="1"/>
  <c r="F80" i="32"/>
  <c r="O80" i="32"/>
  <c r="M80" i="32"/>
  <c r="M83" i="32" s="1"/>
  <c r="K80" i="32"/>
  <c r="I80" i="32"/>
  <c r="O75" i="32"/>
  <c r="M75" i="32"/>
  <c r="K75" i="32"/>
  <c r="I75" i="32"/>
  <c r="F75" i="32"/>
  <c r="P57" i="32" s="1" a="1"/>
  <c r="P57" i="32" s="1"/>
  <c r="P75" i="32" s="1"/>
  <c r="F33" i="32"/>
  <c r="P23" i="32" s="1" a="1"/>
  <c r="P23" i="32" s="1"/>
  <c r="P33" i="32" s="1"/>
  <c r="F22" i="32"/>
  <c r="N6" i="32" s="1" a="1"/>
  <c r="N6" i="32" s="1"/>
  <c r="N22" i="32" s="1"/>
  <c r="J81" i="32" l="1" a="1"/>
  <c r="J81" i="32" s="1"/>
  <c r="J83" i="32" s="1"/>
  <c r="L81" i="32" a="1"/>
  <c r="L81" i="32" s="1"/>
  <c r="L83" i="32" s="1"/>
  <c r="O84" i="32"/>
  <c r="M84" i="32"/>
  <c r="I84" i="32"/>
  <c r="J57" i="32" a="1"/>
  <c r="J57" i="32" s="1"/>
  <c r="J75" i="32" s="1"/>
  <c r="L57" i="32" a="1"/>
  <c r="L57" i="32" s="1"/>
  <c r="L75" i="32" s="1"/>
  <c r="N57" i="32" a="1"/>
  <c r="N57" i="32" s="1"/>
  <c r="N75" i="32" s="1"/>
  <c r="K84" i="32"/>
  <c r="F84" i="32"/>
  <c r="L76" i="32" a="1"/>
  <c r="P76" i="32" a="1"/>
  <c r="N76" i="32" a="1"/>
  <c r="J76" i="32" a="1"/>
  <c r="J45" i="32" a="1"/>
  <c r="J45" i="32" s="1"/>
  <c r="J56" i="32" s="1"/>
  <c r="L45" i="32" a="1"/>
  <c r="L45" i="32" s="1"/>
  <c r="L56" i="32" s="1"/>
  <c r="N45" i="32" a="1"/>
  <c r="N45" i="32" s="1"/>
  <c r="N56" i="32" s="1"/>
  <c r="J23" i="32" a="1"/>
  <c r="J23" i="32" s="1"/>
  <c r="J33" i="32" s="1"/>
  <c r="L23" i="32" a="1"/>
  <c r="L23" i="32" s="1"/>
  <c r="L33" i="32" s="1"/>
  <c r="N23" i="32" a="1"/>
  <c r="N23" i="32" s="1"/>
  <c r="N33" i="32" s="1"/>
  <c r="J6" i="32" a="1"/>
  <c r="J6" i="32" s="1"/>
  <c r="J22" i="32" s="1"/>
  <c r="L6" i="32" a="1"/>
  <c r="L6" i="32" s="1"/>
  <c r="L22" i="32" s="1"/>
  <c r="P6" i="32" a="1"/>
  <c r="P6" i="32" s="1"/>
  <c r="P22" i="32" s="1"/>
  <c r="N84" i="32" l="1"/>
  <c r="P84" i="32"/>
  <c r="J84" i="32"/>
  <c r="L84" i="32"/>
  <c r="J76" i="32"/>
  <c r="J80" i="32" s="1"/>
  <c r="N76" i="32"/>
  <c r="P76" i="32"/>
  <c r="P80" i="32" s="1"/>
  <c r="L76" i="32"/>
  <c r="L80" i="32" s="1"/>
  <c r="V47" i="24"/>
  <c r="Y43" i="24"/>
  <c r="W47" i="24"/>
  <c r="X47" i="24"/>
  <c r="Y44" i="24"/>
  <c r="X39" i="16"/>
  <c r="W39" i="16"/>
  <c r="W39" i="28"/>
  <c r="W40" i="28"/>
  <c r="X40" i="28"/>
  <c r="V40" i="28"/>
  <c r="Y37" i="28"/>
  <c r="Y35" i="16"/>
  <c r="N80" i="32" l="1"/>
  <c r="Y33" i="28" l="1"/>
  <c r="X39" i="28"/>
  <c r="W38" i="28"/>
  <c r="X38" i="28"/>
  <c r="V39" i="28"/>
  <c r="V38" i="28"/>
  <c r="Y28" i="28"/>
  <c r="Y29" i="28"/>
  <c r="Y30" i="28"/>
  <c r="Y31" i="28"/>
  <c r="Y32" i="28"/>
  <c r="Y34" i="28"/>
  <c r="Y35" i="28"/>
  <c r="Y36" i="28"/>
  <c r="Y40" i="28" l="1"/>
  <c r="Y39" i="28"/>
  <c r="M39" i="28"/>
  <c r="W41" i="28"/>
  <c r="M38" i="28"/>
  <c r="Y27" i="28"/>
  <c r="Y38" i="28" s="1"/>
  <c r="N27" i="28"/>
  <c r="M27" i="28"/>
  <c r="Y25" i="28"/>
  <c r="X25" i="28"/>
  <c r="Y24" i="28"/>
  <c r="X24" i="28"/>
  <c r="Y23" i="28"/>
  <c r="X23" i="28"/>
  <c r="Y22" i="28"/>
  <c r="X22" i="28"/>
  <c r="N22" i="28"/>
  <c r="M22" i="28"/>
  <c r="Y21" i="28"/>
  <c r="X21" i="28"/>
  <c r="N21" i="28"/>
  <c r="M21" i="28"/>
  <c r="Y20" i="28"/>
  <c r="X20" i="28"/>
  <c r="Y19" i="28"/>
  <c r="Y18" i="28"/>
  <c r="N18" i="28"/>
  <c r="M18" i="28"/>
  <c r="Y17" i="28"/>
  <c r="N17" i="28"/>
  <c r="M17" i="28"/>
  <c r="Y16" i="28"/>
  <c r="Y15" i="28"/>
  <c r="X15" i="28"/>
  <c r="N15" i="28"/>
  <c r="M15" i="28"/>
  <c r="Y14" i="28"/>
  <c r="N14" i="28"/>
  <c r="M14" i="28"/>
  <c r="Y13" i="28"/>
  <c r="X13" i="28"/>
  <c r="N13" i="28"/>
  <c r="M13" i="28"/>
  <c r="Y12" i="28"/>
  <c r="X12" i="28"/>
  <c r="N12" i="28"/>
  <c r="M12" i="28"/>
  <c r="Y11" i="28"/>
  <c r="X11" i="28"/>
  <c r="Y10" i="28"/>
  <c r="X10" i="28"/>
  <c r="N10" i="28"/>
  <c r="M10" i="28"/>
  <c r="Y9" i="28"/>
  <c r="X9" i="28"/>
  <c r="N9" i="28"/>
  <c r="M9" i="28"/>
  <c r="O2" i="28"/>
  <c r="O27" i="28" s="1"/>
  <c r="Y29" i="27"/>
  <c r="Y30" i="27"/>
  <c r="W32" i="27"/>
  <c r="V33" i="27"/>
  <c r="V32" i="27"/>
  <c r="M41" i="28" l="1"/>
  <c r="O28" i="28"/>
  <c r="O14" i="28"/>
  <c r="P14" i="28" s="1"/>
  <c r="P27" i="28"/>
  <c r="Q27" i="28" s="1"/>
  <c r="V41" i="28"/>
  <c r="Y41" i="28"/>
  <c r="X41" i="28"/>
  <c r="O23" i="28"/>
  <c r="P23" i="28" s="1"/>
  <c r="O25" i="28"/>
  <c r="P25" i="28" s="1"/>
  <c r="O16" i="28"/>
  <c r="P16" i="28" s="1"/>
  <c r="O13" i="28"/>
  <c r="P13" i="28" s="1"/>
  <c r="O18" i="28"/>
  <c r="P18" i="28" s="1"/>
  <c r="O9" i="28"/>
  <c r="P9" i="28" s="1"/>
  <c r="O12" i="28"/>
  <c r="P12" i="28" s="1"/>
  <c r="O22" i="28"/>
  <c r="P22" i="28" s="1"/>
  <c r="O24" i="28"/>
  <c r="P24" i="28" s="1"/>
  <c r="O10" i="28"/>
  <c r="P10" i="28" s="1"/>
  <c r="O11" i="28"/>
  <c r="P11" i="28" s="1"/>
  <c r="O17" i="28"/>
  <c r="P17" i="28" s="1"/>
  <c r="O19" i="28"/>
  <c r="P19" i="28" s="1"/>
  <c r="O20" i="28"/>
  <c r="P20" i="28" s="1"/>
  <c r="O15" i="28"/>
  <c r="P15" i="28" s="1"/>
  <c r="O21" i="28"/>
  <c r="P21" i="28" s="1"/>
  <c r="Y34" i="27" l="1"/>
  <c r="X34" i="27"/>
  <c r="X33" i="27"/>
  <c r="W34" i="27"/>
  <c r="W33" i="27"/>
  <c r="W35" i="27" s="1"/>
  <c r="V34" i="27"/>
  <c r="V35" i="27" s="1"/>
  <c r="M33" i="27"/>
  <c r="M32" i="27"/>
  <c r="M35" i="27" s="1"/>
  <c r="Y28" i="27"/>
  <c r="Y33" i="27" s="1"/>
  <c r="N28" i="27"/>
  <c r="M28" i="27"/>
  <c r="X27" i="27"/>
  <c r="X32" i="27" s="1"/>
  <c r="X35" i="27" s="1"/>
  <c r="T27" i="27"/>
  <c r="N27" i="27"/>
  <c r="M27" i="27"/>
  <c r="Y25" i="27"/>
  <c r="X25" i="27"/>
  <c r="Y24" i="27"/>
  <c r="X24" i="27"/>
  <c r="O24" i="27"/>
  <c r="P24" i="27" s="1"/>
  <c r="Y23" i="27"/>
  <c r="X23" i="27"/>
  <c r="Y22" i="27"/>
  <c r="X22" i="27"/>
  <c r="O22" i="27"/>
  <c r="N22" i="27"/>
  <c r="M22" i="27"/>
  <c r="Y21" i="27"/>
  <c r="X21" i="27"/>
  <c r="N21" i="27"/>
  <c r="M21" i="27"/>
  <c r="Y20" i="27"/>
  <c r="X20" i="27"/>
  <c r="Y19" i="27"/>
  <c r="Y18" i="27"/>
  <c r="N18" i="27"/>
  <c r="M18" i="27"/>
  <c r="Y17" i="27"/>
  <c r="O17" i="27"/>
  <c r="N17" i="27"/>
  <c r="M17" i="27"/>
  <c r="Y16" i="27"/>
  <c r="Y15" i="27"/>
  <c r="X15" i="27"/>
  <c r="N15" i="27"/>
  <c r="M15" i="27"/>
  <c r="Y14" i="27"/>
  <c r="N14" i="27"/>
  <c r="M14" i="27"/>
  <c r="Y13" i="27"/>
  <c r="X13" i="27"/>
  <c r="O13" i="27"/>
  <c r="N13" i="27"/>
  <c r="M13" i="27"/>
  <c r="Y12" i="27"/>
  <c r="X12" i="27"/>
  <c r="N12" i="27"/>
  <c r="M12" i="27"/>
  <c r="Y11" i="27"/>
  <c r="X11" i="27"/>
  <c r="Y10" i="27"/>
  <c r="X10" i="27"/>
  <c r="N10" i="27"/>
  <c r="M10" i="27"/>
  <c r="Y9" i="27"/>
  <c r="X9" i="27"/>
  <c r="N9" i="27"/>
  <c r="M9" i="27"/>
  <c r="O2" i="27"/>
  <c r="O25" i="27" s="1"/>
  <c r="P25" i="27" s="1"/>
  <c r="V30" i="26"/>
  <c r="X31" i="26"/>
  <c r="W31" i="26"/>
  <c r="V31" i="26"/>
  <c r="V33" i="26" s="1"/>
  <c r="M31" i="26"/>
  <c r="M30" i="26"/>
  <c r="M33" i="26" s="1"/>
  <c r="Y28" i="26"/>
  <c r="N28" i="26"/>
  <c r="M28" i="26"/>
  <c r="X27" i="26"/>
  <c r="Y27" i="26" s="1"/>
  <c r="T27" i="26"/>
  <c r="N27" i="26"/>
  <c r="M27" i="26"/>
  <c r="Y25" i="26"/>
  <c r="X25" i="26"/>
  <c r="Y24" i="26"/>
  <c r="X24" i="26"/>
  <c r="Y23" i="26"/>
  <c r="X23" i="26"/>
  <c r="Y22" i="26"/>
  <c r="X22" i="26"/>
  <c r="N22" i="26"/>
  <c r="M22" i="26"/>
  <c r="Y21" i="26"/>
  <c r="X21" i="26"/>
  <c r="N21" i="26"/>
  <c r="M21" i="26"/>
  <c r="Y20" i="26"/>
  <c r="X20" i="26"/>
  <c r="Y19" i="26"/>
  <c r="Y18" i="26"/>
  <c r="N18" i="26"/>
  <c r="M18" i="26"/>
  <c r="Y17" i="26"/>
  <c r="N17" i="26"/>
  <c r="M17" i="26"/>
  <c r="Y16" i="26"/>
  <c r="Y15" i="26"/>
  <c r="X15" i="26"/>
  <c r="N15" i="26"/>
  <c r="M15" i="26"/>
  <c r="Y14" i="26"/>
  <c r="N14" i="26"/>
  <c r="M14" i="26"/>
  <c r="Y13" i="26"/>
  <c r="X13" i="26"/>
  <c r="N13" i="26"/>
  <c r="M13" i="26"/>
  <c r="Y12" i="26"/>
  <c r="X12" i="26"/>
  <c r="N12" i="26"/>
  <c r="M12" i="26"/>
  <c r="Y11" i="26"/>
  <c r="X11" i="26"/>
  <c r="Y10" i="26"/>
  <c r="X10" i="26"/>
  <c r="N10" i="26"/>
  <c r="M10" i="26"/>
  <c r="Y9" i="26"/>
  <c r="X9" i="26"/>
  <c r="N9" i="26"/>
  <c r="M9" i="26"/>
  <c r="O2" i="26"/>
  <c r="O28" i="26" s="1"/>
  <c r="X46" i="25"/>
  <c r="X45" i="25"/>
  <c r="X44" i="25"/>
  <c r="W46" i="25"/>
  <c r="W45" i="25"/>
  <c r="V46" i="25"/>
  <c r="V45" i="25"/>
  <c r="Y36" i="25"/>
  <c r="Y35" i="25"/>
  <c r="Y33" i="25"/>
  <c r="Y28" i="25"/>
  <c r="Y29" i="25"/>
  <c r="Y30" i="25"/>
  <c r="Y31" i="25"/>
  <c r="Y32" i="25"/>
  <c r="Y34" i="25"/>
  <c r="Y37" i="25"/>
  <c r="Y38" i="25"/>
  <c r="Y39" i="25"/>
  <c r="Y40" i="25"/>
  <c r="Y41" i="25"/>
  <c r="Y42" i="25"/>
  <c r="N38" i="25"/>
  <c r="Y45" i="25" l="1"/>
  <c r="Y46" i="25"/>
  <c r="P12" i="27"/>
  <c r="O15" i="27"/>
  <c r="P15" i="27" s="1"/>
  <c r="O10" i="27"/>
  <c r="P10" i="27" s="1"/>
  <c r="O12" i="27"/>
  <c r="O18" i="27"/>
  <c r="P13" i="27"/>
  <c r="P9" i="27"/>
  <c r="X30" i="26"/>
  <c r="X33" i="26" s="1"/>
  <c r="O14" i="27"/>
  <c r="P17" i="27"/>
  <c r="O19" i="27"/>
  <c r="P19" i="27" s="1"/>
  <c r="P22" i="27"/>
  <c r="O17" i="26"/>
  <c r="P17" i="26" s="1"/>
  <c r="O9" i="27"/>
  <c r="O11" i="27"/>
  <c r="P11" i="27" s="1"/>
  <c r="P18" i="27"/>
  <c r="P14" i="27"/>
  <c r="Y27" i="27"/>
  <c r="Y32" i="27" s="1"/>
  <c r="Y35" i="27" s="1"/>
  <c r="O21" i="27"/>
  <c r="P21" i="27" s="1"/>
  <c r="O27" i="27"/>
  <c r="P27" i="27" s="1"/>
  <c r="Q27" i="27" s="1"/>
  <c r="O28" i="27"/>
  <c r="P28" i="27" s="1"/>
  <c r="Q28" i="27" s="1"/>
  <c r="O16" i="27"/>
  <c r="P16" i="27" s="1"/>
  <c r="O20" i="27"/>
  <c r="P20" i="27" s="1"/>
  <c r="O23" i="27"/>
  <c r="P23" i="27" s="1"/>
  <c r="O11" i="26"/>
  <c r="P11" i="26" s="1"/>
  <c r="O27" i="26"/>
  <c r="P27" i="26" s="1"/>
  <c r="Q27" i="26" s="1"/>
  <c r="O21" i="26"/>
  <c r="P21" i="26" s="1"/>
  <c r="O19" i="26"/>
  <c r="P19" i="26" s="1"/>
  <c r="O14" i="26"/>
  <c r="P14" i="26" s="1"/>
  <c r="Y31" i="26"/>
  <c r="P28" i="26"/>
  <c r="Q28" i="26" s="1"/>
  <c r="Y30" i="26"/>
  <c r="Y33" i="26" s="1"/>
  <c r="O16" i="26"/>
  <c r="P16" i="26" s="1"/>
  <c r="O20" i="26"/>
  <c r="P20" i="26" s="1"/>
  <c r="O23" i="26"/>
  <c r="P23" i="26" s="1"/>
  <c r="O25" i="26"/>
  <c r="P25" i="26" s="1"/>
  <c r="W30" i="26"/>
  <c r="W33" i="26" s="1"/>
  <c r="O10" i="26"/>
  <c r="P10" i="26" s="1"/>
  <c r="O13" i="26"/>
  <c r="P13" i="26" s="1"/>
  <c r="O18" i="26"/>
  <c r="P18" i="26" s="1"/>
  <c r="O9" i="26"/>
  <c r="P9" i="26" s="1"/>
  <c r="O12" i="26"/>
  <c r="P12" i="26" s="1"/>
  <c r="O15" i="26"/>
  <c r="P15" i="26" s="1"/>
  <c r="O22" i="26"/>
  <c r="P22" i="26" s="1"/>
  <c r="O24" i="26"/>
  <c r="P24" i="26" s="1"/>
  <c r="Y47" i="25" l="1"/>
  <c r="Z46" i="25"/>
  <c r="W27" i="25"/>
  <c r="W44" i="25" s="1"/>
  <c r="M45" i="25"/>
  <c r="M44" i="25"/>
  <c r="N29" i="25"/>
  <c r="M29" i="25"/>
  <c r="N28" i="25"/>
  <c r="M28" i="25"/>
  <c r="T27" i="25"/>
  <c r="N27" i="25"/>
  <c r="M27" i="25"/>
  <c r="Y25" i="25"/>
  <c r="X25" i="25"/>
  <c r="Y24" i="25"/>
  <c r="X24" i="25"/>
  <c r="Y23" i="25"/>
  <c r="X23" i="25"/>
  <c r="Y22" i="25"/>
  <c r="X22" i="25"/>
  <c r="N22" i="25"/>
  <c r="M22" i="25"/>
  <c r="Y21" i="25"/>
  <c r="X21" i="25"/>
  <c r="N21" i="25"/>
  <c r="M21" i="25"/>
  <c r="Y20" i="25"/>
  <c r="X20" i="25"/>
  <c r="Y19" i="25"/>
  <c r="Y18" i="25"/>
  <c r="N18" i="25"/>
  <c r="M18" i="25"/>
  <c r="Y17" i="25"/>
  <c r="N17" i="25"/>
  <c r="M17" i="25"/>
  <c r="Y16" i="25"/>
  <c r="Y15" i="25"/>
  <c r="X15" i="25"/>
  <c r="N15" i="25"/>
  <c r="M15" i="25"/>
  <c r="Y14" i="25"/>
  <c r="N14" i="25"/>
  <c r="M14" i="25"/>
  <c r="Y13" i="25"/>
  <c r="X13" i="25"/>
  <c r="N13" i="25"/>
  <c r="M13" i="25"/>
  <c r="Y12" i="25"/>
  <c r="X12" i="25"/>
  <c r="N12" i="25"/>
  <c r="M12" i="25"/>
  <c r="Y11" i="25"/>
  <c r="X11" i="25"/>
  <c r="Y10" i="25"/>
  <c r="X10" i="25"/>
  <c r="N10" i="25"/>
  <c r="M10" i="25"/>
  <c r="Y9" i="25"/>
  <c r="X9" i="25"/>
  <c r="N9" i="25"/>
  <c r="M9" i="25"/>
  <c r="O2" i="25"/>
  <c r="X38" i="16"/>
  <c r="W38" i="16"/>
  <c r="X46" i="24"/>
  <c r="X45" i="24"/>
  <c r="W46" i="24"/>
  <c r="W45" i="24"/>
  <c r="V45" i="24"/>
  <c r="Y42" i="24"/>
  <c r="V38" i="24"/>
  <c r="Y38" i="24" s="1"/>
  <c r="Y39" i="24"/>
  <c r="Y40" i="24"/>
  <c r="Y41" i="24"/>
  <c r="V46" i="24" l="1"/>
  <c r="V48" i="24" s="1"/>
  <c r="Y47" i="24"/>
  <c r="O39" i="25"/>
  <c r="O42" i="25"/>
  <c r="O41" i="25"/>
  <c r="O40" i="25"/>
  <c r="O33" i="25"/>
  <c r="O38" i="25"/>
  <c r="P38" i="25" s="1"/>
  <c r="Q38" i="25" s="1"/>
  <c r="O37" i="25"/>
  <c r="O36" i="25"/>
  <c r="O35" i="25"/>
  <c r="O34" i="25"/>
  <c r="O14" i="25"/>
  <c r="P14" i="25" s="1"/>
  <c r="Y27" i="25"/>
  <c r="Y44" i="25" s="1"/>
  <c r="X47" i="25"/>
  <c r="V47" i="25"/>
  <c r="W47" i="25"/>
  <c r="M47" i="25"/>
  <c r="O20" i="25"/>
  <c r="P20" i="25" s="1"/>
  <c r="O23" i="25"/>
  <c r="P23" i="25" s="1"/>
  <c r="O30" i="25"/>
  <c r="P30" i="25" s="1"/>
  <c r="Q30" i="25" s="1"/>
  <c r="O24" i="25"/>
  <c r="P24" i="25" s="1"/>
  <c r="O32" i="25"/>
  <c r="O11" i="25"/>
  <c r="P11" i="25" s="1"/>
  <c r="O17" i="25"/>
  <c r="P17" i="25" s="1"/>
  <c r="O19" i="25"/>
  <c r="P19" i="25" s="1"/>
  <c r="O16" i="25"/>
  <c r="P16" i="25" s="1"/>
  <c r="O25" i="25"/>
  <c r="P25" i="25" s="1"/>
  <c r="O10" i="25"/>
  <c r="P10" i="25" s="1"/>
  <c r="O13" i="25"/>
  <c r="P13" i="25" s="1"/>
  <c r="O29" i="25"/>
  <c r="P29" i="25" s="1"/>
  <c r="Q29" i="25" s="1"/>
  <c r="O18" i="25"/>
  <c r="P18" i="25" s="1"/>
  <c r="O9" i="25"/>
  <c r="P9" i="25" s="1"/>
  <c r="O12" i="25"/>
  <c r="P12" i="25" s="1"/>
  <c r="O28" i="25"/>
  <c r="P28" i="25" s="1"/>
  <c r="Q28" i="25" s="1"/>
  <c r="O15" i="25"/>
  <c r="P15" i="25" s="1"/>
  <c r="O22" i="25"/>
  <c r="P22" i="25" s="1"/>
  <c r="O21" i="25"/>
  <c r="P21" i="25" s="1"/>
  <c r="O27" i="25"/>
  <c r="P27" i="25" s="1"/>
  <c r="Q27" i="25" s="1"/>
  <c r="O31" i="25"/>
  <c r="P31" i="25" s="1"/>
  <c r="Q31" i="25" s="1"/>
  <c r="Z47" i="25" l="1"/>
  <c r="W29" i="16" l="1"/>
  <c r="W30" i="16"/>
  <c r="Y37" i="24" l="1"/>
  <c r="Y46" i="24" s="1"/>
  <c r="Y36" i="24"/>
  <c r="Y35" i="24"/>
  <c r="Y28" i="24" l="1"/>
  <c r="Y30" i="24"/>
  <c r="M46" i="24"/>
  <c r="M45" i="24"/>
  <c r="Y34" i="24"/>
  <c r="Y33" i="24"/>
  <c r="Y32" i="24"/>
  <c r="Y31" i="24"/>
  <c r="N31" i="24"/>
  <c r="N30" i="24"/>
  <c r="M30" i="24"/>
  <c r="Y29" i="24"/>
  <c r="N29" i="24"/>
  <c r="M29" i="24"/>
  <c r="N28" i="24"/>
  <c r="M28" i="24"/>
  <c r="T27" i="24"/>
  <c r="N27" i="24"/>
  <c r="M27" i="24"/>
  <c r="Y25" i="24"/>
  <c r="X25" i="24"/>
  <c r="Y24" i="24"/>
  <c r="X24" i="24"/>
  <c r="Y23" i="24"/>
  <c r="X23" i="24"/>
  <c r="Y22" i="24"/>
  <c r="X22" i="24"/>
  <c r="N22" i="24"/>
  <c r="M22" i="24"/>
  <c r="Y21" i="24"/>
  <c r="X21" i="24"/>
  <c r="N21" i="24"/>
  <c r="M21" i="24"/>
  <c r="Y20" i="24"/>
  <c r="X20" i="24"/>
  <c r="Y19" i="24"/>
  <c r="Y18" i="24"/>
  <c r="N18" i="24"/>
  <c r="M18" i="24"/>
  <c r="Y17" i="24"/>
  <c r="N17" i="24"/>
  <c r="M17" i="24"/>
  <c r="Y16" i="24"/>
  <c r="Y15" i="24"/>
  <c r="X15" i="24"/>
  <c r="N15" i="24"/>
  <c r="M15" i="24"/>
  <c r="Y14" i="24"/>
  <c r="N14" i="24"/>
  <c r="M14" i="24"/>
  <c r="Y13" i="24"/>
  <c r="X13" i="24"/>
  <c r="N13" i="24"/>
  <c r="M13" i="24"/>
  <c r="Y12" i="24"/>
  <c r="X12" i="24"/>
  <c r="N12" i="24"/>
  <c r="M12" i="24"/>
  <c r="Y11" i="24"/>
  <c r="X11" i="24"/>
  <c r="Y10" i="24"/>
  <c r="X10" i="24"/>
  <c r="N10" i="24"/>
  <c r="M10" i="24"/>
  <c r="Y9" i="24"/>
  <c r="X9" i="24"/>
  <c r="N9" i="24"/>
  <c r="M9" i="24"/>
  <c r="O2" i="24"/>
  <c r="O27" i="24" s="1"/>
  <c r="V40" i="16"/>
  <c r="W28" i="16"/>
  <c r="Y30" i="16"/>
  <c r="Y31" i="16"/>
  <c r="Y32" i="16"/>
  <c r="Y33" i="16"/>
  <c r="Y34" i="16"/>
  <c r="Y36" i="16"/>
  <c r="X27" i="16"/>
  <c r="Y29" i="16"/>
  <c r="Y28" i="16" l="1"/>
  <c r="W40" i="16"/>
  <c r="Y27" i="16"/>
  <c r="X40" i="16"/>
  <c r="O12" i="24"/>
  <c r="O38" i="24"/>
  <c r="O37" i="24"/>
  <c r="O36" i="24"/>
  <c r="O13" i="24"/>
  <c r="P13" i="24" s="1"/>
  <c r="O15" i="24"/>
  <c r="P15" i="24" s="1"/>
  <c r="O24" i="24"/>
  <c r="P24" i="24" s="1"/>
  <c r="O9" i="24"/>
  <c r="P9" i="24" s="1"/>
  <c r="O18" i="24"/>
  <c r="P18" i="24" s="1"/>
  <c r="O33" i="24"/>
  <c r="P33" i="24" s="1"/>
  <c r="Q33" i="24" s="1"/>
  <c r="O14" i="24"/>
  <c r="P14" i="24" s="1"/>
  <c r="O25" i="24"/>
  <c r="P25" i="24" s="1"/>
  <c r="O35" i="24"/>
  <c r="P35" i="24" s="1"/>
  <c r="Q35" i="24" s="1"/>
  <c r="O10" i="24"/>
  <c r="P10" i="24" s="1"/>
  <c r="O30" i="24"/>
  <c r="P30" i="24" s="1"/>
  <c r="Q30" i="24" s="1"/>
  <c r="O34" i="24"/>
  <c r="P34" i="24" s="1"/>
  <c r="Q34" i="24" s="1"/>
  <c r="O22" i="24"/>
  <c r="P22" i="24" s="1"/>
  <c r="O28" i="24"/>
  <c r="P28" i="24" s="1"/>
  <c r="Q28" i="24" s="1"/>
  <c r="O31" i="24"/>
  <c r="P31" i="24" s="1"/>
  <c r="Q31" i="24" s="1"/>
  <c r="O21" i="24"/>
  <c r="P21" i="24" s="1"/>
  <c r="O32" i="24"/>
  <c r="P32" i="24" s="1"/>
  <c r="Q32" i="24" s="1"/>
  <c r="P12" i="24"/>
  <c r="X48" i="24"/>
  <c r="M48" i="24"/>
  <c r="P27" i="24"/>
  <c r="Q27" i="24" s="1"/>
  <c r="W48" i="24"/>
  <c r="Y27" i="24"/>
  <c r="Y45" i="24" s="1"/>
  <c r="O11" i="24"/>
  <c r="P11" i="24" s="1"/>
  <c r="O17" i="24"/>
  <c r="P17" i="24" s="1"/>
  <c r="O19" i="24"/>
  <c r="P19" i="24" s="1"/>
  <c r="O29" i="24"/>
  <c r="P29" i="24" s="1"/>
  <c r="Q29" i="24" s="1"/>
  <c r="O16" i="24"/>
  <c r="P16" i="24" s="1"/>
  <c r="O20" i="24"/>
  <c r="P20" i="24" s="1"/>
  <c r="O23" i="24"/>
  <c r="P23" i="24" s="1"/>
  <c r="M38" i="16"/>
  <c r="M37" i="16"/>
  <c r="Y40" i="16" l="1"/>
  <c r="M40" i="16"/>
  <c r="Y48" i="24"/>
  <c r="N30" i="16"/>
  <c r="M30" i="16"/>
  <c r="N28" i="16"/>
  <c r="M28" i="16"/>
  <c r="T27" i="16" l="1"/>
  <c r="F52" i="13" l="1"/>
  <c r="F22" i="13"/>
  <c r="AI51" i="18" l="1"/>
  <c r="AG51" i="18"/>
  <c r="AC51" i="18"/>
  <c r="AA51" i="18"/>
  <c r="AH34" i="18"/>
  <c r="T34" i="18" s="1"/>
  <c r="AH32" i="18"/>
  <c r="T32" i="18" s="1"/>
  <c r="AH31" i="18"/>
  <c r="AF31" i="18"/>
  <c r="AH28" i="18"/>
  <c r="AB31" i="18"/>
  <c r="AD31" i="18"/>
  <c r="AH27" i="18"/>
  <c r="AF28" i="18"/>
  <c r="AD28" i="18"/>
  <c r="Z28" i="18"/>
  <c r="AB28" i="18"/>
  <c r="AI51" i="15"/>
  <c r="T31" i="18" l="1"/>
  <c r="T28" i="18"/>
  <c r="AH51" i="18"/>
  <c r="Y52" i="18"/>
  <c r="X52" i="18"/>
  <c r="W52" i="18"/>
  <c r="V52" i="18"/>
  <c r="AK50" i="18"/>
  <c r="AJ50" i="18"/>
  <c r="AA48" i="18"/>
  <c r="AC48" i="18" s="1"/>
  <c r="AA47" i="18"/>
  <c r="AA46" i="18"/>
  <c r="Z46" i="18" s="1"/>
  <c r="N46" i="18"/>
  <c r="O43" i="18"/>
  <c r="P43" i="18" s="1"/>
  <c r="Q43" i="18" s="1"/>
  <c r="N41" i="18"/>
  <c r="M41" i="18"/>
  <c r="N36" i="18"/>
  <c r="M36" i="18"/>
  <c r="AH33" i="18"/>
  <c r="AF33" i="18"/>
  <c r="AD33" i="18"/>
  <c r="AB33" i="18"/>
  <c r="Z33" i="18"/>
  <c r="T33" i="18" s="1"/>
  <c r="N33" i="18"/>
  <c r="M33" i="18"/>
  <c r="N32" i="18"/>
  <c r="M32" i="18"/>
  <c r="AH30" i="18"/>
  <c r="AF30" i="18"/>
  <c r="AD30" i="18"/>
  <c r="O30" i="18"/>
  <c r="P30" i="18" s="1"/>
  <c r="Q30" i="18" s="1"/>
  <c r="AH29" i="18"/>
  <c r="AF29" i="18"/>
  <c r="AD29" i="18"/>
  <c r="N29" i="18"/>
  <c r="M29" i="18"/>
  <c r="N28" i="18"/>
  <c r="M28" i="18"/>
  <c r="AF27" i="18"/>
  <c r="AF51" i="18" s="1"/>
  <c r="Z27" i="18"/>
  <c r="N27" i="18"/>
  <c r="M27" i="18"/>
  <c r="AA25" i="18"/>
  <c r="AC25" i="18" s="1"/>
  <c r="Z25" i="18"/>
  <c r="AC24" i="18"/>
  <c r="AB24" i="18" s="1"/>
  <c r="AA24" i="18"/>
  <c r="Z24" i="18"/>
  <c r="AC23" i="18"/>
  <c r="AA23" i="18"/>
  <c r="Z23" i="18" s="1"/>
  <c r="AA22" i="18"/>
  <c r="AC22" i="18" s="1"/>
  <c r="N22" i="18"/>
  <c r="M22" i="18"/>
  <c r="AA21" i="18"/>
  <c r="AC21" i="18" s="1"/>
  <c r="Z21" i="18"/>
  <c r="O21" i="18"/>
  <c r="N21" i="18"/>
  <c r="M21" i="18"/>
  <c r="AC20" i="18"/>
  <c r="AA20" i="18"/>
  <c r="Z20" i="18"/>
  <c r="AA19" i="18"/>
  <c r="Z19" i="18" s="1"/>
  <c r="AA18" i="18"/>
  <c r="AC18" i="18" s="1"/>
  <c r="Z18" i="18"/>
  <c r="N18" i="18"/>
  <c r="M18" i="18"/>
  <c r="AA17" i="18"/>
  <c r="O17" i="18"/>
  <c r="P17" i="18" s="1"/>
  <c r="N17" i="18"/>
  <c r="M17" i="18"/>
  <c r="AA16" i="18"/>
  <c r="AC16" i="18" s="1"/>
  <c r="Z16" i="18"/>
  <c r="AC15" i="18"/>
  <c r="AA15" i="18"/>
  <c r="Z15" i="18"/>
  <c r="N15" i="18"/>
  <c r="M15" i="18"/>
  <c r="AA14" i="18"/>
  <c r="N14" i="18"/>
  <c r="M14" i="18"/>
  <c r="AA13" i="18"/>
  <c r="AC13" i="18" s="1"/>
  <c r="Z13" i="18"/>
  <c r="N13" i="18"/>
  <c r="M13" i="18"/>
  <c r="AA12" i="18"/>
  <c r="AC12" i="18" s="1"/>
  <c r="O12" i="18"/>
  <c r="N12" i="18"/>
  <c r="P12" i="18" s="1"/>
  <c r="M12" i="18"/>
  <c r="AA11" i="18"/>
  <c r="AC11" i="18" s="1"/>
  <c r="Z11" i="18"/>
  <c r="AA10" i="18"/>
  <c r="AC10" i="18" s="1"/>
  <c r="N10" i="18"/>
  <c r="M10" i="18"/>
  <c r="AA9" i="18"/>
  <c r="Z9" i="18" s="1"/>
  <c r="O9" i="18"/>
  <c r="N9" i="18"/>
  <c r="M9" i="18"/>
  <c r="O2" i="18"/>
  <c r="O46" i="18" s="1"/>
  <c r="P46" i="18" s="1"/>
  <c r="Q46" i="18" s="1"/>
  <c r="AH28" i="15"/>
  <c r="AH27" i="15"/>
  <c r="AF27" i="15"/>
  <c r="AB33" i="15"/>
  <c r="AA51" i="15"/>
  <c r="Z33" i="15"/>
  <c r="T33" i="15" s="1"/>
  <c r="AB22" i="18" l="1"/>
  <c r="AE22" i="18"/>
  <c r="AB21" i="18"/>
  <c r="AE21" i="18"/>
  <c r="AE12" i="18"/>
  <c r="AD12" i="18" s="1"/>
  <c r="AB12" i="18"/>
  <c r="P9" i="18"/>
  <c r="Z51" i="18"/>
  <c r="AC46" i="18"/>
  <c r="Z10" i="18"/>
  <c r="Z12" i="18"/>
  <c r="AC19" i="18"/>
  <c r="P21" i="18"/>
  <c r="AE24" i="18"/>
  <c r="Z22" i="18"/>
  <c r="AA49" i="18"/>
  <c r="O14" i="18"/>
  <c r="P14" i="18" s="1"/>
  <c r="O28" i="18"/>
  <c r="P28" i="18" s="1"/>
  <c r="Q28" i="18" s="1"/>
  <c r="O44" i="18"/>
  <c r="P44" i="18" s="1"/>
  <c r="Q44" i="18" s="1"/>
  <c r="AH51" i="15"/>
  <c r="AC9" i="18"/>
  <c r="AE27" i="18"/>
  <c r="AE51" i="18" s="1"/>
  <c r="AB27" i="18"/>
  <c r="AB51" i="18" s="1"/>
  <c r="AB25" i="18"/>
  <c r="AE25" i="18"/>
  <c r="AB18" i="18"/>
  <c r="AE18" i="18"/>
  <c r="Z17" i="18"/>
  <c r="AC17" i="18"/>
  <c r="AE13" i="18"/>
  <c r="AB13" i="18"/>
  <c r="AB23" i="18"/>
  <c r="AE23" i="18"/>
  <c r="AE46" i="18"/>
  <c r="AB46" i="18"/>
  <c r="AB20" i="18"/>
  <c r="AE20" i="18"/>
  <c r="AA52" i="18"/>
  <c r="AE10" i="18"/>
  <c r="AB10" i="18"/>
  <c r="AB15" i="18"/>
  <c r="AE15" i="18"/>
  <c r="Z14" i="18"/>
  <c r="AC14" i="18"/>
  <c r="AB48" i="18"/>
  <c r="AE48" i="18"/>
  <c r="AE16" i="18"/>
  <c r="AB16" i="18"/>
  <c r="P33" i="18"/>
  <c r="Q33" i="18" s="1"/>
  <c r="AB11" i="18"/>
  <c r="AE11" i="18"/>
  <c r="AD21" i="18"/>
  <c r="AG21" i="18"/>
  <c r="AD27" i="18"/>
  <c r="P32" i="18"/>
  <c r="Q32" i="18" s="1"/>
  <c r="Z47" i="18"/>
  <c r="Z49" i="18" s="1"/>
  <c r="AC47" i="18"/>
  <c r="O29" i="18"/>
  <c r="P29" i="18" s="1"/>
  <c r="Q29" i="18" s="1"/>
  <c r="O40" i="18"/>
  <c r="P40" i="18" s="1"/>
  <c r="Q40" i="18" s="1"/>
  <c r="O42" i="18"/>
  <c r="P42" i="18" s="1"/>
  <c r="Q42" i="18" s="1"/>
  <c r="O32" i="18"/>
  <c r="O45" i="18"/>
  <c r="P45" i="18" s="1"/>
  <c r="Q45" i="18" s="1"/>
  <c r="O27" i="18"/>
  <c r="P27" i="18" s="1"/>
  <c r="Q27" i="18" s="1"/>
  <c r="O35" i="18"/>
  <c r="P35" i="18" s="1"/>
  <c r="Q35" i="18" s="1"/>
  <c r="O37" i="18"/>
  <c r="P37" i="18" s="1"/>
  <c r="Q37" i="18" s="1"/>
  <c r="O48" i="18"/>
  <c r="P48" i="18" s="1"/>
  <c r="Q48" i="18" s="1"/>
  <c r="O11" i="18"/>
  <c r="P11" i="18" s="1"/>
  <c r="O15" i="18"/>
  <c r="P15" i="18" s="1"/>
  <c r="O18" i="18"/>
  <c r="P18" i="18" s="1"/>
  <c r="O20" i="18"/>
  <c r="P20" i="18" s="1"/>
  <c r="O23" i="18"/>
  <c r="P23" i="18" s="1"/>
  <c r="O25" i="18"/>
  <c r="P25" i="18" s="1"/>
  <c r="O38" i="18"/>
  <c r="P38" i="18" s="1"/>
  <c r="Q38" i="18" s="1"/>
  <c r="O47" i="18"/>
  <c r="P47" i="18" s="1"/>
  <c r="Q47" i="18" s="1"/>
  <c r="Z48" i="18"/>
  <c r="O31" i="18"/>
  <c r="P31" i="18" s="1"/>
  <c r="Q31" i="18" s="1"/>
  <c r="O33" i="18"/>
  <c r="O34" i="18"/>
  <c r="P34" i="18" s="1"/>
  <c r="Q34" i="18" s="1"/>
  <c r="O36" i="18"/>
  <c r="P36" i="18" s="1"/>
  <c r="Q36" i="18" s="1"/>
  <c r="O10" i="18"/>
  <c r="P10" i="18" s="1"/>
  <c r="O13" i="18"/>
  <c r="P13" i="18" s="1"/>
  <c r="O16" i="18"/>
  <c r="P16" i="18" s="1"/>
  <c r="O19" i="18"/>
  <c r="P19" i="18" s="1"/>
  <c r="O22" i="18"/>
  <c r="P22" i="18" s="1"/>
  <c r="O24" i="18"/>
  <c r="P24" i="18" s="1"/>
  <c r="O39" i="18"/>
  <c r="P39" i="18" s="1"/>
  <c r="Q39" i="18" s="1"/>
  <c r="O41" i="18"/>
  <c r="P41" i="18" s="1"/>
  <c r="Q41" i="18" s="1"/>
  <c r="AB49" i="18" l="1"/>
  <c r="AD51" i="18"/>
  <c r="AE19" i="18"/>
  <c r="AB19" i="18"/>
  <c r="AG12" i="18"/>
  <c r="AI12" i="18" s="1"/>
  <c r="AH12" i="18" s="1"/>
  <c r="AD22" i="18"/>
  <c r="AG22" i="18"/>
  <c r="T27" i="18"/>
  <c r="T52" i="18" s="1"/>
  <c r="AC49" i="18"/>
  <c r="AE9" i="18"/>
  <c r="AB9" i="18"/>
  <c r="AG24" i="18"/>
  <c r="AD24" i="18"/>
  <c r="Z52" i="18"/>
  <c r="AG11" i="18"/>
  <c r="AD11" i="18"/>
  <c r="AE14" i="18"/>
  <c r="AB14" i="18"/>
  <c r="AD13" i="18"/>
  <c r="AG13" i="18"/>
  <c r="AG25" i="18"/>
  <c r="AD25" i="18"/>
  <c r="AG15" i="18"/>
  <c r="AD15" i="18"/>
  <c r="AK51" i="18"/>
  <c r="AJ51" i="18"/>
  <c r="AI21" i="18"/>
  <c r="AH21" i="18" s="1"/>
  <c r="AF21" i="18"/>
  <c r="AE47" i="18"/>
  <c r="AB47" i="18"/>
  <c r="AG16" i="18"/>
  <c r="AD16" i="18"/>
  <c r="AD46" i="18"/>
  <c r="AG46" i="18"/>
  <c r="AE17" i="18"/>
  <c r="AB17" i="18"/>
  <c r="AG20" i="18"/>
  <c r="AD20" i="18"/>
  <c r="AG18" i="18"/>
  <c r="AD18" i="18"/>
  <c r="AG48" i="18"/>
  <c r="AD48" i="18"/>
  <c r="AD10" i="18"/>
  <c r="AG10" i="18"/>
  <c r="AG23" i="18"/>
  <c r="AD23" i="18"/>
  <c r="AI24" i="18" l="1"/>
  <c r="AH24" i="18" s="1"/>
  <c r="AF24" i="18"/>
  <c r="AG19" i="18"/>
  <c r="AD19" i="18"/>
  <c r="AI22" i="18"/>
  <c r="AH22" i="18" s="1"/>
  <c r="AF22" i="18"/>
  <c r="AF12" i="18"/>
  <c r="AE49" i="18"/>
  <c r="AD9" i="18"/>
  <c r="AG9" i="18"/>
  <c r="AB52" i="18"/>
  <c r="AC52" i="18"/>
  <c r="AI48" i="18"/>
  <c r="AH48" i="18" s="1"/>
  <c r="AF48" i="18"/>
  <c r="AI46" i="18"/>
  <c r="AF46" i="18"/>
  <c r="AG47" i="18"/>
  <c r="AG49" i="18" s="1"/>
  <c r="AG52" i="18" s="1"/>
  <c r="AD47" i="18"/>
  <c r="AG17" i="18"/>
  <c r="AD17" i="18"/>
  <c r="AD49" i="18" s="1"/>
  <c r="AD52" i="18" s="1"/>
  <c r="AI15" i="18"/>
  <c r="AH15" i="18" s="1"/>
  <c r="AF15" i="18"/>
  <c r="AG14" i="18"/>
  <c r="AD14" i="18"/>
  <c r="AI25" i="18"/>
  <c r="AH25" i="18" s="1"/>
  <c r="AF25" i="18"/>
  <c r="AI11" i="18"/>
  <c r="AH11" i="18" s="1"/>
  <c r="AF11" i="18"/>
  <c r="AF10" i="18"/>
  <c r="AI10" i="18"/>
  <c r="AH10" i="18" s="1"/>
  <c r="AI18" i="18"/>
  <c r="AH18" i="18" s="1"/>
  <c r="AF18" i="18"/>
  <c r="AE52" i="18"/>
  <c r="AI23" i="18"/>
  <c r="AH23" i="18" s="1"/>
  <c r="AF23" i="18"/>
  <c r="AI20" i="18"/>
  <c r="AH20" i="18" s="1"/>
  <c r="AF20" i="18"/>
  <c r="AF16" i="18"/>
  <c r="AI16" i="18"/>
  <c r="AH16" i="18" s="1"/>
  <c r="AF13" i="18"/>
  <c r="AI13" i="18"/>
  <c r="AH13" i="18" s="1"/>
  <c r="AI19" i="18" l="1"/>
  <c r="AH19" i="18" s="1"/>
  <c r="AF19" i="18"/>
  <c r="AI9" i="18"/>
  <c r="AH9" i="18" s="1"/>
  <c r="AF9" i="18"/>
  <c r="AI49" i="18"/>
  <c r="AI52" i="18" s="1"/>
  <c r="AI17" i="18"/>
  <c r="AH17" i="18" s="1"/>
  <c r="AF17" i="18"/>
  <c r="AF47" i="18"/>
  <c r="AF49" i="18" s="1"/>
  <c r="AI47" i="18"/>
  <c r="AH47" i="18" s="1"/>
  <c r="AH46" i="18"/>
  <c r="AI14" i="18"/>
  <c r="AH14" i="18" s="1"/>
  <c r="AF14" i="18"/>
  <c r="AF52" i="18" l="1"/>
  <c r="AK49" i="18"/>
  <c r="AK52" i="18" s="1"/>
  <c r="AH49" i="18"/>
  <c r="AH52" i="18" s="1"/>
  <c r="AJ49" i="18" l="1"/>
  <c r="AJ52" i="18" s="1"/>
  <c r="N31" i="16"/>
  <c r="N29" i="16"/>
  <c r="M29" i="16"/>
  <c r="N27" i="16"/>
  <c r="M27" i="16"/>
  <c r="X25" i="16"/>
  <c r="N22" i="16"/>
  <c r="M22" i="16"/>
  <c r="N21" i="16"/>
  <c r="M21" i="16"/>
  <c r="X20" i="16"/>
  <c r="N18" i="16"/>
  <c r="M18" i="16"/>
  <c r="N17" i="16"/>
  <c r="M17" i="16"/>
  <c r="N15" i="16"/>
  <c r="M15" i="16"/>
  <c r="N14" i="16"/>
  <c r="M14" i="16"/>
  <c r="X13" i="16"/>
  <c r="N13" i="16"/>
  <c r="M13" i="16"/>
  <c r="N12" i="16"/>
  <c r="M12" i="16"/>
  <c r="X10" i="16"/>
  <c r="N10" i="16"/>
  <c r="M10" i="16"/>
  <c r="N9" i="16"/>
  <c r="M9" i="16"/>
  <c r="O2" i="16"/>
  <c r="Y52" i="15"/>
  <c r="X52" i="15"/>
  <c r="W52" i="15"/>
  <c r="V52" i="15"/>
  <c r="AA48" i="15"/>
  <c r="Z48" i="15" s="1"/>
  <c r="AA47" i="15"/>
  <c r="AC47" i="15" s="1"/>
  <c r="AA46" i="15"/>
  <c r="AC46" i="15" s="1"/>
  <c r="Z46" i="15"/>
  <c r="N46" i="15"/>
  <c r="N41" i="15"/>
  <c r="M41" i="15"/>
  <c r="N36" i="15"/>
  <c r="M36" i="15"/>
  <c r="AH33" i="15"/>
  <c r="AF33" i="15"/>
  <c r="AD33" i="15"/>
  <c r="N33" i="15"/>
  <c r="M33" i="15"/>
  <c r="AE28" i="15"/>
  <c r="AB28" i="15"/>
  <c r="N32" i="15"/>
  <c r="M32" i="15"/>
  <c r="AH30" i="15"/>
  <c r="AF30" i="15"/>
  <c r="AD30" i="15"/>
  <c r="AH29" i="15"/>
  <c r="AF29" i="15"/>
  <c r="AD29" i="15"/>
  <c r="N29" i="15"/>
  <c r="M29" i="15"/>
  <c r="N28" i="15"/>
  <c r="M28" i="15"/>
  <c r="AC27" i="15"/>
  <c r="Z27" i="15"/>
  <c r="N27" i="15"/>
  <c r="M27" i="15"/>
  <c r="AA25" i="15"/>
  <c r="AC25" i="15" s="1"/>
  <c r="AA24" i="15"/>
  <c r="Z24" i="15" s="1"/>
  <c r="AA23" i="15"/>
  <c r="AC23" i="15" s="1"/>
  <c r="AA22" i="15"/>
  <c r="Z22" i="15" s="1"/>
  <c r="N22" i="15"/>
  <c r="M22" i="15"/>
  <c r="AA21" i="15"/>
  <c r="AC21" i="15" s="1"/>
  <c r="Z21" i="15"/>
  <c r="N21" i="15"/>
  <c r="M21" i="15"/>
  <c r="AA20" i="15"/>
  <c r="AC20" i="15" s="1"/>
  <c r="AA19" i="15"/>
  <c r="AC19" i="15" s="1"/>
  <c r="AA18" i="15"/>
  <c r="Z18" i="15" s="1"/>
  <c r="N18" i="15"/>
  <c r="M18" i="15"/>
  <c r="AA17" i="15"/>
  <c r="AC17" i="15" s="1"/>
  <c r="Z17" i="15"/>
  <c r="N17" i="15"/>
  <c r="M17" i="15"/>
  <c r="AA16" i="15"/>
  <c r="AC16" i="15" s="1"/>
  <c r="AA15" i="15"/>
  <c r="Z15" i="15" s="1"/>
  <c r="N15" i="15"/>
  <c r="M15" i="15"/>
  <c r="AA14" i="15"/>
  <c r="AC14" i="15" s="1"/>
  <c r="Z14" i="15"/>
  <c r="N14" i="15"/>
  <c r="M14" i="15"/>
  <c r="AA13" i="15"/>
  <c r="AC13" i="15" s="1"/>
  <c r="N13" i="15"/>
  <c r="M13" i="15"/>
  <c r="AA12" i="15"/>
  <c r="AC12" i="15" s="1"/>
  <c r="AB12" i="15" s="1"/>
  <c r="Z12" i="15"/>
  <c r="N12" i="15"/>
  <c r="M12" i="15"/>
  <c r="AA11" i="15"/>
  <c r="Z11" i="15" s="1"/>
  <c r="AA10" i="15"/>
  <c r="AC10" i="15" s="1"/>
  <c r="N10" i="15"/>
  <c r="M10" i="15"/>
  <c r="AA9" i="15"/>
  <c r="N9" i="15"/>
  <c r="M9" i="15"/>
  <c r="O2" i="15"/>
  <c r="O27" i="15" s="1"/>
  <c r="P27" i="15" s="1"/>
  <c r="Q27" i="15" s="1"/>
  <c r="O29" i="16" l="1"/>
  <c r="O35" i="16"/>
  <c r="P35" i="16" s="1"/>
  <c r="Q35" i="16" s="1"/>
  <c r="Z9" i="15"/>
  <c r="AA49" i="15"/>
  <c r="AE27" i="15"/>
  <c r="AE51" i="15" s="1"/>
  <c r="AK51" i="15" s="1"/>
  <c r="AC51" i="15"/>
  <c r="Z51" i="15"/>
  <c r="X23" i="16"/>
  <c r="O12" i="16"/>
  <c r="O34" i="16"/>
  <c r="P34" i="16" s="1"/>
  <c r="Q34" i="16" s="1"/>
  <c r="O33" i="16"/>
  <c r="P33" i="16" s="1"/>
  <c r="Q33" i="16" s="1"/>
  <c r="P29" i="16"/>
  <c r="Q29" i="16" s="1"/>
  <c r="O32" i="16"/>
  <c r="P32" i="16" s="1"/>
  <c r="Q32" i="16" s="1"/>
  <c r="O28" i="16"/>
  <c r="P28" i="16" s="1"/>
  <c r="Q28" i="16" s="1"/>
  <c r="O22" i="16"/>
  <c r="P22" i="16" s="1"/>
  <c r="X12" i="16"/>
  <c r="X21" i="16"/>
  <c r="Y25" i="16"/>
  <c r="AG28" i="15"/>
  <c r="AG51" i="15" s="1"/>
  <c r="AB46" i="15"/>
  <c r="AE46" i="15"/>
  <c r="AD46" i="15" s="1"/>
  <c r="AC9" i="15"/>
  <c r="AD28" i="15"/>
  <c r="Z47" i="15"/>
  <c r="AC48" i="15"/>
  <c r="AB48" i="15" s="1"/>
  <c r="Y21" i="16"/>
  <c r="O10" i="16"/>
  <c r="P10" i="16" s="1"/>
  <c r="O15" i="16"/>
  <c r="P15" i="16" s="1"/>
  <c r="O18" i="16"/>
  <c r="P18" i="16" s="1"/>
  <c r="O24" i="16"/>
  <c r="P24" i="16" s="1"/>
  <c r="O13" i="16"/>
  <c r="P13" i="16" s="1"/>
  <c r="O9" i="16"/>
  <c r="P9" i="16" s="1"/>
  <c r="P12" i="16"/>
  <c r="X9" i="16"/>
  <c r="Y17" i="16"/>
  <c r="Y23" i="16"/>
  <c r="Y14" i="16"/>
  <c r="X22" i="16"/>
  <c r="X11" i="16"/>
  <c r="X24" i="16"/>
  <c r="X15" i="16"/>
  <c r="O36" i="16"/>
  <c r="P36" i="16" s="1"/>
  <c r="Q36" i="16" s="1"/>
  <c r="O30" i="16"/>
  <c r="P30" i="16" s="1"/>
  <c r="Q30" i="16" s="1"/>
  <c r="O25" i="16"/>
  <c r="P25" i="16" s="1"/>
  <c r="O23" i="16"/>
  <c r="P23" i="16" s="1"/>
  <c r="O20" i="16"/>
  <c r="P20" i="16" s="1"/>
  <c r="O19" i="16"/>
  <c r="P19" i="16" s="1"/>
  <c r="O16" i="16"/>
  <c r="P16" i="16" s="1"/>
  <c r="O27" i="16"/>
  <c r="P27" i="16" s="1"/>
  <c r="Q27" i="16" s="1"/>
  <c r="O21" i="16"/>
  <c r="P21" i="16" s="1"/>
  <c r="O17" i="16"/>
  <c r="P17" i="16" s="1"/>
  <c r="O14" i="16"/>
  <c r="P14" i="16" s="1"/>
  <c r="O11" i="16"/>
  <c r="P11" i="16" s="1"/>
  <c r="O31" i="16"/>
  <c r="P31" i="16" s="1"/>
  <c r="Q31" i="16" s="1"/>
  <c r="AB20" i="15"/>
  <c r="AE20" i="15"/>
  <c r="AB10" i="15"/>
  <c r="AE10" i="15"/>
  <c r="AB47" i="15"/>
  <c r="AE47" i="15"/>
  <c r="AE23" i="15"/>
  <c r="AB23" i="15"/>
  <c r="AE14" i="15"/>
  <c r="AB14" i="15"/>
  <c r="AE17" i="15"/>
  <c r="AB17" i="15"/>
  <c r="AB25" i="15"/>
  <c r="AE25" i="15"/>
  <c r="AE21" i="15"/>
  <c r="AB21" i="15"/>
  <c r="AE13" i="15"/>
  <c r="AB13" i="15"/>
  <c r="AB16" i="15"/>
  <c r="AE16" i="15"/>
  <c r="AB19" i="15"/>
  <c r="AE19" i="15"/>
  <c r="O29" i="15"/>
  <c r="P29" i="15" s="1"/>
  <c r="Q29" i="15" s="1"/>
  <c r="O25" i="15"/>
  <c r="P25" i="15" s="1"/>
  <c r="O30" i="15"/>
  <c r="P30" i="15" s="1"/>
  <c r="Q30" i="15" s="1"/>
  <c r="O33" i="15"/>
  <c r="P33" i="15" s="1"/>
  <c r="Q33" i="15" s="1"/>
  <c r="O40" i="15"/>
  <c r="P40" i="15" s="1"/>
  <c r="Q40" i="15" s="1"/>
  <c r="AE12" i="15"/>
  <c r="AC24" i="15"/>
  <c r="O39" i="15"/>
  <c r="P39" i="15" s="1"/>
  <c r="Q39" i="15" s="1"/>
  <c r="O48" i="15"/>
  <c r="P48" i="15" s="1"/>
  <c r="Q48" i="15" s="1"/>
  <c r="AE48" i="15"/>
  <c r="O9" i="15"/>
  <c r="P9" i="15" s="1"/>
  <c r="Z10" i="15"/>
  <c r="O12" i="15"/>
  <c r="P12" i="15" s="1"/>
  <c r="Z13" i="15"/>
  <c r="Z16" i="15"/>
  <c r="Z19" i="15"/>
  <c r="Z20" i="15"/>
  <c r="Z23" i="15"/>
  <c r="Z25" i="15"/>
  <c r="AB27" i="15"/>
  <c r="AB51" i="15" s="1"/>
  <c r="O28" i="15"/>
  <c r="P28" i="15" s="1"/>
  <c r="Q28" i="15" s="1"/>
  <c r="O38" i="15"/>
  <c r="P38" i="15" s="1"/>
  <c r="Q38" i="15" s="1"/>
  <c r="O16" i="15"/>
  <c r="P16" i="15" s="1"/>
  <c r="O19" i="15"/>
  <c r="P19" i="15" s="1"/>
  <c r="O34" i="15"/>
  <c r="P34" i="15" s="1"/>
  <c r="Q34" i="15" s="1"/>
  <c r="O31" i="15"/>
  <c r="P31" i="15" s="1"/>
  <c r="Q31" i="15" s="1"/>
  <c r="O35" i="15"/>
  <c r="P35" i="15" s="1"/>
  <c r="Q35" i="15" s="1"/>
  <c r="O36" i="15"/>
  <c r="P36" i="15" s="1"/>
  <c r="Q36" i="15" s="1"/>
  <c r="O37" i="15"/>
  <c r="P37" i="15" s="1"/>
  <c r="Q37" i="15" s="1"/>
  <c r="O44" i="15"/>
  <c r="P44" i="15" s="1"/>
  <c r="Q44" i="15" s="1"/>
  <c r="O41" i="15"/>
  <c r="P41" i="15" s="1"/>
  <c r="Q41" i="15" s="1"/>
  <c r="AG46" i="15"/>
  <c r="O11" i="15"/>
  <c r="P11" i="15" s="1"/>
  <c r="O15" i="15"/>
  <c r="P15" i="15" s="1"/>
  <c r="O18" i="15"/>
  <c r="P18" i="15" s="1"/>
  <c r="O22" i="15"/>
  <c r="P22" i="15" s="1"/>
  <c r="O24" i="15"/>
  <c r="P24" i="15" s="1"/>
  <c r="O47" i="15"/>
  <c r="P47" i="15" s="1"/>
  <c r="Q47" i="15" s="1"/>
  <c r="O42" i="15"/>
  <c r="P42" i="15" s="1"/>
  <c r="Q42" i="15" s="1"/>
  <c r="O46" i="15"/>
  <c r="P46" i="15" s="1"/>
  <c r="Q46" i="15" s="1"/>
  <c r="O10" i="15"/>
  <c r="P10" i="15" s="1"/>
  <c r="O13" i="15"/>
  <c r="P13" i="15" s="1"/>
  <c r="AC15" i="15"/>
  <c r="AC22" i="15"/>
  <c r="O45" i="15"/>
  <c r="P45" i="15" s="1"/>
  <c r="Q45" i="15" s="1"/>
  <c r="O32" i="15"/>
  <c r="P32" i="15" s="1"/>
  <c r="Q32" i="15" s="1"/>
  <c r="O43" i="15"/>
  <c r="P43" i="15" s="1"/>
  <c r="Q43" i="15" s="1"/>
  <c r="O20" i="15"/>
  <c r="P20" i="15" s="1"/>
  <c r="O23" i="15"/>
  <c r="P23" i="15" s="1"/>
  <c r="AC11" i="15"/>
  <c r="AC18" i="15"/>
  <c r="O14" i="15"/>
  <c r="P14" i="15" s="1"/>
  <c r="O17" i="15"/>
  <c r="P17" i="15" s="1"/>
  <c r="O21" i="15"/>
  <c r="P21" i="15" s="1"/>
  <c r="AF28" i="15" l="1"/>
  <c r="AF46" i="15"/>
  <c r="AD27" i="15"/>
  <c r="AD51" i="15" s="1"/>
  <c r="T27" i="15"/>
  <c r="AB9" i="15"/>
  <c r="AC49" i="15"/>
  <c r="AC52" i="15" s="1"/>
  <c r="AE9" i="15"/>
  <c r="Z49" i="15"/>
  <c r="Z52" i="15" s="1"/>
  <c r="Y20" i="16"/>
  <c r="Y19" i="16"/>
  <c r="Y12" i="16"/>
  <c r="Y16" i="16"/>
  <c r="AD13" i="15"/>
  <c r="AG13" i="15"/>
  <c r="AF13" i="15" s="1"/>
  <c r="AG47" i="15"/>
  <c r="AF47" i="15" s="1"/>
  <c r="AD47" i="15"/>
  <c r="AG17" i="15"/>
  <c r="AF17" i="15" s="1"/>
  <c r="AD17" i="15"/>
  <c r="AG9" i="15"/>
  <c r="AF9" i="15" s="1"/>
  <c r="AD9" i="15"/>
  <c r="AD19" i="15"/>
  <c r="AG19" i="15"/>
  <c r="AF19" i="15" s="1"/>
  <c r="AD14" i="15"/>
  <c r="AG14" i="15"/>
  <c r="AF14" i="15" s="1"/>
  <c r="AG48" i="15"/>
  <c r="AF48" i="15" s="1"/>
  <c r="AD48" i="15"/>
  <c r="AD16" i="15"/>
  <c r="AG16" i="15"/>
  <c r="AF16" i="15" s="1"/>
  <c r="AE11" i="15"/>
  <c r="AB11" i="15"/>
  <c r="AB49" i="15" s="1"/>
  <c r="AE22" i="15"/>
  <c r="AB22" i="15"/>
  <c r="AD25" i="15"/>
  <c r="AG25" i="15"/>
  <c r="AF25" i="15" s="1"/>
  <c r="AD23" i="15"/>
  <c r="AG23" i="15"/>
  <c r="AF23" i="15" s="1"/>
  <c r="AI46" i="15"/>
  <c r="AD10" i="15"/>
  <c r="AG10" i="15"/>
  <c r="AF10" i="15" s="1"/>
  <c r="AB18" i="15"/>
  <c r="AE18" i="15"/>
  <c r="AB15" i="15"/>
  <c r="AE15" i="15"/>
  <c r="AE24" i="15"/>
  <c r="AB24" i="15"/>
  <c r="AG21" i="15"/>
  <c r="AF21" i="15" s="1"/>
  <c r="AD21" i="15"/>
  <c r="AD20" i="15"/>
  <c r="AG20" i="15"/>
  <c r="AF20" i="15" s="1"/>
  <c r="AD12" i="15"/>
  <c r="AG12" i="15"/>
  <c r="AF12" i="15" s="1"/>
  <c r="AA52" i="15"/>
  <c r="N9" i="14"/>
  <c r="M9" i="14"/>
  <c r="N10" i="14"/>
  <c r="M10" i="14"/>
  <c r="N12" i="14"/>
  <c r="M12" i="14"/>
  <c r="N13" i="14"/>
  <c r="M13" i="14"/>
  <c r="N14" i="14"/>
  <c r="M14" i="14"/>
  <c r="N15" i="14"/>
  <c r="M15" i="14"/>
  <c r="N17" i="14"/>
  <c r="M17" i="14"/>
  <c r="N18" i="14"/>
  <c r="M18" i="14"/>
  <c r="M21" i="14"/>
  <c r="M22" i="14"/>
  <c r="M41" i="14"/>
  <c r="N41" i="14"/>
  <c r="M36" i="14"/>
  <c r="M33" i="14"/>
  <c r="N33" i="14"/>
  <c r="M32" i="14"/>
  <c r="M29" i="14"/>
  <c r="N28" i="14"/>
  <c r="AE49" i="15" l="1"/>
  <c r="AH46" i="15"/>
  <c r="AF51" i="15"/>
  <c r="T28" i="15"/>
  <c r="T52" i="15" s="1"/>
  <c r="Y9" i="16"/>
  <c r="AB52" i="15"/>
  <c r="Y22" i="16"/>
  <c r="Y13" i="16"/>
  <c r="Y11" i="16"/>
  <c r="Y18" i="16"/>
  <c r="Y24" i="16"/>
  <c r="Y10" i="16"/>
  <c r="Y15" i="16"/>
  <c r="AI21" i="15"/>
  <c r="AH21" i="15" s="1"/>
  <c r="AG22" i="15"/>
  <c r="AF22" i="15" s="1"/>
  <c r="AD22" i="15"/>
  <c r="AI14" i="15"/>
  <c r="AH14" i="15" s="1"/>
  <c r="AI17" i="15"/>
  <c r="AH17" i="15" s="1"/>
  <c r="AI12" i="15"/>
  <c r="AH12" i="15" s="1"/>
  <c r="AG24" i="15"/>
  <c r="AF24" i="15" s="1"/>
  <c r="AD24" i="15"/>
  <c r="AG11" i="15"/>
  <c r="AF11" i="15" s="1"/>
  <c r="AF49" i="15" s="1"/>
  <c r="AD11" i="15"/>
  <c r="AD49" i="15" s="1"/>
  <c r="AD52" i="15" s="1"/>
  <c r="AI19" i="15"/>
  <c r="AH19" i="15" s="1"/>
  <c r="AI47" i="15"/>
  <c r="AH47" i="15" s="1"/>
  <c r="AG15" i="15"/>
  <c r="AF15" i="15" s="1"/>
  <c r="AD15" i="15"/>
  <c r="AI23" i="15"/>
  <c r="AH23" i="15" s="1"/>
  <c r="AI13" i="15"/>
  <c r="AH13" i="15" s="1"/>
  <c r="AI16" i="15"/>
  <c r="AH16" i="15" s="1"/>
  <c r="AI20" i="15"/>
  <c r="AH20" i="15" s="1"/>
  <c r="AG18" i="15"/>
  <c r="AF18" i="15" s="1"/>
  <c r="AD18" i="15"/>
  <c r="AI25" i="15"/>
  <c r="AH25" i="15" s="1"/>
  <c r="AI9" i="15"/>
  <c r="AI10" i="15"/>
  <c r="AH10" i="15" s="1"/>
  <c r="AI48" i="15"/>
  <c r="AH48" i="15" s="1"/>
  <c r="M28" i="14"/>
  <c r="M27" i="14"/>
  <c r="AG49" i="15" l="1"/>
  <c r="AF52" i="15"/>
  <c r="AJ51" i="15"/>
  <c r="AK50" i="15"/>
  <c r="AG52" i="15"/>
  <c r="AE52" i="15"/>
  <c r="AI18" i="15"/>
  <c r="AH18" i="15" s="1"/>
  <c r="AI15" i="15"/>
  <c r="AH15" i="15" s="1"/>
  <c r="AI11" i="15"/>
  <c r="AH11" i="15" s="1"/>
  <c r="AH9" i="15"/>
  <c r="AH49" i="15" s="1"/>
  <c r="AI24" i="15"/>
  <c r="AH24" i="15" s="1"/>
  <c r="AI22" i="15"/>
  <c r="AH22" i="15" s="1"/>
  <c r="W52" i="14"/>
  <c r="X52" i="14"/>
  <c r="Y52" i="14"/>
  <c r="V52" i="14"/>
  <c r="AI49" i="15" l="1"/>
  <c r="AK49" i="15" s="1"/>
  <c r="AJ50" i="15"/>
  <c r="AF33" i="14"/>
  <c r="AD33" i="14"/>
  <c r="AC22" i="14"/>
  <c r="AB22" i="14" s="1"/>
  <c r="AA10" i="14"/>
  <c r="Z10" i="14" s="1"/>
  <c r="AA11" i="14"/>
  <c r="Z11" i="14" s="1"/>
  <c r="AA12" i="14"/>
  <c r="Z12" i="14" s="1"/>
  <c r="AA13" i="14"/>
  <c r="AC13" i="14" s="1"/>
  <c r="AA14" i="14"/>
  <c r="Z14" i="14" s="1"/>
  <c r="AA15" i="14"/>
  <c r="Z15" i="14" s="1"/>
  <c r="AA16" i="14"/>
  <c r="Z16" i="14" s="1"/>
  <c r="AA17" i="14"/>
  <c r="Z17" i="14" s="1"/>
  <c r="AA18" i="14"/>
  <c r="Z18" i="14" s="1"/>
  <c r="AA19" i="14"/>
  <c r="AC19" i="14" s="1"/>
  <c r="AA20" i="14"/>
  <c r="Z20" i="14" s="1"/>
  <c r="AA21" i="14"/>
  <c r="Z21" i="14" s="1"/>
  <c r="AA22" i="14"/>
  <c r="Z22" i="14" s="1"/>
  <c r="AA23" i="14"/>
  <c r="AC23" i="14" s="1"/>
  <c r="AB23" i="14" s="1"/>
  <c r="AA24" i="14"/>
  <c r="Z24" i="14" s="1"/>
  <c r="AA25" i="14"/>
  <c r="Z25" i="14" s="1"/>
  <c r="AA9" i="14"/>
  <c r="Z9" i="14" s="1"/>
  <c r="AH43" i="14"/>
  <c r="AF40" i="14"/>
  <c r="AF37" i="14"/>
  <c r="AF38" i="14"/>
  <c r="AF36" i="14"/>
  <c r="AF35" i="14"/>
  <c r="AD35" i="14"/>
  <c r="AD30" i="14"/>
  <c r="AD29" i="14"/>
  <c r="AF29" i="14"/>
  <c r="AF30" i="14"/>
  <c r="AF31" i="14"/>
  <c r="AH28" i="14"/>
  <c r="AH29" i="14"/>
  <c r="AH30" i="14"/>
  <c r="AH31" i="14"/>
  <c r="AH32" i="14"/>
  <c r="AH33" i="14"/>
  <c r="AH34" i="14"/>
  <c r="AH35" i="14"/>
  <c r="AH36" i="14"/>
  <c r="AH37" i="14"/>
  <c r="AH38" i="14"/>
  <c r="AH39" i="14"/>
  <c r="AH40" i="14"/>
  <c r="AH27" i="14"/>
  <c r="AF27" i="14"/>
  <c r="AG28" i="14"/>
  <c r="AC30" i="14"/>
  <c r="AB30" i="14" s="1"/>
  <c r="AF44" i="14"/>
  <c r="AF41" i="14"/>
  <c r="AF42" i="14"/>
  <c r="Z28" i="14"/>
  <c r="AI52" i="15" l="1"/>
  <c r="AK52" i="15"/>
  <c r="AH52" i="15"/>
  <c r="AJ49" i="15"/>
  <c r="AJ52" i="15" s="1"/>
  <c r="AC16" i="14"/>
  <c r="AE16" i="14" s="1"/>
  <c r="AD16" i="14" s="1"/>
  <c r="AC15" i="14"/>
  <c r="AE15" i="14" s="1"/>
  <c r="AG15" i="14" s="1"/>
  <c r="AF28" i="14"/>
  <c r="Z23" i="14"/>
  <c r="AB19" i="14"/>
  <c r="AE19" i="14"/>
  <c r="AB13" i="14"/>
  <c r="AE13" i="14"/>
  <c r="AE23" i="14"/>
  <c r="AC20" i="14"/>
  <c r="AE22" i="14"/>
  <c r="Z13" i="14"/>
  <c r="AC12" i="14"/>
  <c r="AC21" i="14"/>
  <c r="AC11" i="14"/>
  <c r="Z19" i="14"/>
  <c r="AC25" i="14"/>
  <c r="AC18" i="14"/>
  <c r="AC10" i="14"/>
  <c r="AC14" i="14"/>
  <c r="AC9" i="14"/>
  <c r="AC24" i="14"/>
  <c r="AC17" i="14"/>
  <c r="AA46" i="14"/>
  <c r="AA47" i="14"/>
  <c r="AA48" i="14"/>
  <c r="AA45" i="14"/>
  <c r="AA51" i="14" s="1"/>
  <c r="Z29" i="14"/>
  <c r="Z30" i="14"/>
  <c r="Z31" i="14"/>
  <c r="AD15" i="14" l="1"/>
  <c r="AG16" i="14"/>
  <c r="AF16" i="14" s="1"/>
  <c r="AB16" i="14"/>
  <c r="AB15" i="14"/>
  <c r="AD22" i="14"/>
  <c r="AG22" i="14"/>
  <c r="AB17" i="14"/>
  <c r="AE17" i="14"/>
  <c r="AE20" i="14"/>
  <c r="AB20" i="14"/>
  <c r="AB11" i="14"/>
  <c r="AE11" i="14"/>
  <c r="AB24" i="14"/>
  <c r="AE24" i="14"/>
  <c r="AD19" i="14"/>
  <c r="AG19" i="14"/>
  <c r="AB21" i="14"/>
  <c r="AE21" i="14"/>
  <c r="AB14" i="14"/>
  <c r="AE14" i="14"/>
  <c r="AC48" i="14"/>
  <c r="Z48" i="14"/>
  <c r="AI15" i="14"/>
  <c r="AH15" i="14" s="1"/>
  <c r="AF15" i="14"/>
  <c r="AC46" i="14"/>
  <c r="Z46" i="14"/>
  <c r="AB18" i="14"/>
  <c r="AE18" i="14"/>
  <c r="AE25" i="14"/>
  <c r="AB25" i="14"/>
  <c r="AD13" i="14"/>
  <c r="AG13" i="14"/>
  <c r="AB9" i="14"/>
  <c r="AE9" i="14"/>
  <c r="AD23" i="14"/>
  <c r="AG23" i="14"/>
  <c r="AC45" i="14"/>
  <c r="Z45" i="14"/>
  <c r="AB12" i="14"/>
  <c r="AE12" i="14"/>
  <c r="AA49" i="14"/>
  <c r="AA52" i="14" s="1"/>
  <c r="AC47" i="14"/>
  <c r="Z47" i="14"/>
  <c r="AE10" i="14"/>
  <c r="AB10" i="14"/>
  <c r="AI42" i="14"/>
  <c r="AH42" i="14" s="1"/>
  <c r="AG43" i="14"/>
  <c r="AF43" i="14" s="1"/>
  <c r="AI44" i="14"/>
  <c r="AH44" i="14" s="1"/>
  <c r="AI41" i="14"/>
  <c r="AE38" i="14"/>
  <c r="AE40" i="14"/>
  <c r="AD40" i="14" s="1"/>
  <c r="AE37" i="14"/>
  <c r="AD37" i="14" s="1"/>
  <c r="AC33" i="14"/>
  <c r="AB33" i="14" s="1"/>
  <c r="AB34" i="14"/>
  <c r="AC35" i="14"/>
  <c r="AB36" i="14"/>
  <c r="AB32" i="14"/>
  <c r="AC28" i="14"/>
  <c r="AC29" i="14"/>
  <c r="AB29" i="14" s="1"/>
  <c r="AC31" i="14"/>
  <c r="AC49" i="14" l="1"/>
  <c r="AI16" i="14"/>
  <c r="AH16" i="14" s="1"/>
  <c r="Z49" i="14"/>
  <c r="AD9" i="14"/>
  <c r="AG9" i="14"/>
  <c r="AG10" i="14"/>
  <c r="AD10" i="14"/>
  <c r="AD20" i="14"/>
  <c r="AG20" i="14"/>
  <c r="AI13" i="14"/>
  <c r="AH13" i="14" s="1"/>
  <c r="AF13" i="14"/>
  <c r="AF19" i="14"/>
  <c r="AI19" i="14"/>
  <c r="AH19" i="14" s="1"/>
  <c r="AD17" i="14"/>
  <c r="AG17" i="14"/>
  <c r="AE28" i="14"/>
  <c r="AD28" i="14" s="1"/>
  <c r="AB28" i="14"/>
  <c r="AE47" i="14"/>
  <c r="AB47" i="14"/>
  <c r="AD21" i="14"/>
  <c r="AG21" i="14"/>
  <c r="AD12" i="14"/>
  <c r="AG12" i="14"/>
  <c r="AE46" i="14"/>
  <c r="AB46" i="14"/>
  <c r="AI51" i="14"/>
  <c r="AH41" i="14"/>
  <c r="AH51" i="14" s="1"/>
  <c r="AE45" i="14"/>
  <c r="AB45" i="14"/>
  <c r="AD24" i="14"/>
  <c r="AG24" i="14"/>
  <c r="AI22" i="14"/>
  <c r="AH22" i="14" s="1"/>
  <c r="AF22" i="14"/>
  <c r="AI23" i="14"/>
  <c r="AH23" i="14" s="1"/>
  <c r="AF23" i="14"/>
  <c r="AD25" i="14"/>
  <c r="AG25" i="14"/>
  <c r="AE48" i="14"/>
  <c r="AB48" i="14"/>
  <c r="AD18" i="14"/>
  <c r="AG18" i="14"/>
  <c r="AD14" i="14"/>
  <c r="AG14" i="14"/>
  <c r="AD11" i="14"/>
  <c r="AG11" i="14"/>
  <c r="AE31" i="14"/>
  <c r="AD31" i="14" s="1"/>
  <c r="AB31" i="14"/>
  <c r="AE36" i="14"/>
  <c r="AD36" i="14" s="1"/>
  <c r="AE34" i="14"/>
  <c r="AD38" i="14"/>
  <c r="AG39" i="14"/>
  <c r="AF39" i="14" s="1"/>
  <c r="AD39" i="14"/>
  <c r="AC27" i="14"/>
  <c r="AC51" i="14" s="1"/>
  <c r="Z27" i="14"/>
  <c r="Z51" i="14" s="1"/>
  <c r="AB35" i="14"/>
  <c r="AE32" i="14"/>
  <c r="N32" i="14"/>
  <c r="N36" i="14"/>
  <c r="N46" i="14"/>
  <c r="N29" i="14"/>
  <c r="N27" i="14"/>
  <c r="N22" i="14"/>
  <c r="N21" i="14"/>
  <c r="O2" i="14"/>
  <c r="AC52" i="14" l="1"/>
  <c r="AB49" i="14"/>
  <c r="Z52" i="14"/>
  <c r="AI11" i="14"/>
  <c r="AH11" i="14" s="1"/>
  <c r="AF11" i="14"/>
  <c r="AI24" i="14"/>
  <c r="AH24" i="14" s="1"/>
  <c r="AF24" i="14"/>
  <c r="AI12" i="14"/>
  <c r="AH12" i="14" s="1"/>
  <c r="AF12" i="14"/>
  <c r="AI17" i="14"/>
  <c r="AH17" i="14" s="1"/>
  <c r="AF17" i="14"/>
  <c r="AI10" i="14"/>
  <c r="AH10" i="14" s="1"/>
  <c r="AF10" i="14"/>
  <c r="AG45" i="14"/>
  <c r="AD45" i="14"/>
  <c r="AE49" i="14"/>
  <c r="AG34" i="14"/>
  <c r="AD34" i="14"/>
  <c r="AI18" i="14"/>
  <c r="AH18" i="14" s="1"/>
  <c r="AF18" i="14"/>
  <c r="AF9" i="14"/>
  <c r="AI9" i="14"/>
  <c r="AG48" i="14"/>
  <c r="AD48" i="14"/>
  <c r="AI25" i="14"/>
  <c r="AH25" i="14" s="1"/>
  <c r="AF25" i="14"/>
  <c r="AF21" i="14"/>
  <c r="AI21" i="14"/>
  <c r="AH21" i="14" s="1"/>
  <c r="AG32" i="14"/>
  <c r="AD32" i="14"/>
  <c r="AF14" i="14"/>
  <c r="AI14" i="14"/>
  <c r="AH14" i="14" s="1"/>
  <c r="AG47" i="14"/>
  <c r="AD47" i="14"/>
  <c r="AG46" i="14"/>
  <c r="AD46" i="14"/>
  <c r="AI20" i="14"/>
  <c r="AH20" i="14" s="1"/>
  <c r="AF20" i="14"/>
  <c r="AE27" i="14"/>
  <c r="AE51" i="14" s="1"/>
  <c r="AB27" i="14"/>
  <c r="AB51" i="14" s="1"/>
  <c r="O10" i="14"/>
  <c r="P10" i="14" s="1"/>
  <c r="O18" i="14"/>
  <c r="P18" i="14" s="1"/>
  <c r="O25" i="14"/>
  <c r="P25" i="14" s="1"/>
  <c r="O12" i="14"/>
  <c r="P12" i="14" s="1"/>
  <c r="O13" i="14"/>
  <c r="P13" i="14" s="1"/>
  <c r="O20" i="14"/>
  <c r="P20" i="14" s="1"/>
  <c r="O21" i="14"/>
  <c r="P21" i="14" s="1"/>
  <c r="O22" i="14"/>
  <c r="P22" i="14" s="1"/>
  <c r="O11" i="14"/>
  <c r="P11" i="14" s="1"/>
  <c r="O19" i="14"/>
  <c r="P19" i="14" s="1"/>
  <c r="O9" i="14"/>
  <c r="P9" i="14" s="1"/>
  <c r="O15" i="14"/>
  <c r="P15" i="14" s="1"/>
  <c r="O16" i="14"/>
  <c r="P16" i="14" s="1"/>
  <c r="O17" i="14"/>
  <c r="P17" i="14" s="1"/>
  <c r="O24" i="14"/>
  <c r="P24" i="14" s="1"/>
  <c r="O14" i="14"/>
  <c r="P14" i="14" s="1"/>
  <c r="O23" i="14"/>
  <c r="P23" i="14" s="1"/>
  <c r="O28" i="14"/>
  <c r="O36" i="14"/>
  <c r="O44" i="14"/>
  <c r="O38" i="14"/>
  <c r="O32" i="14"/>
  <c r="P32" i="14" s="1"/>
  <c r="Q32" i="14" s="1"/>
  <c r="O40" i="14"/>
  <c r="O43" i="14"/>
  <c r="O29" i="14"/>
  <c r="O37" i="14"/>
  <c r="O45" i="14"/>
  <c r="P45" i="14" s="1"/>
  <c r="Q45" i="14" s="1"/>
  <c r="O30" i="14"/>
  <c r="O46" i="14"/>
  <c r="P46" i="14" s="1"/>
  <c r="Q46" i="14" s="1"/>
  <c r="O34" i="14"/>
  <c r="O42" i="14"/>
  <c r="P42" i="14" s="1"/>
  <c r="Q42" i="14" s="1"/>
  <c r="O35" i="14"/>
  <c r="O31" i="14"/>
  <c r="O39" i="14"/>
  <c r="O47" i="14"/>
  <c r="O48" i="14"/>
  <c r="O33" i="14"/>
  <c r="P33" i="14" s="1"/>
  <c r="Q33" i="14" s="1"/>
  <c r="O41" i="14"/>
  <c r="P41" i="14" s="1"/>
  <c r="Q41" i="14" s="1"/>
  <c r="O27" i="14"/>
  <c r="P27" i="14" s="1"/>
  <c r="Q27" i="14" s="1"/>
  <c r="X48" i="12"/>
  <c r="AF34" i="14" l="1"/>
  <c r="AG49" i="14"/>
  <c r="AB52" i="14"/>
  <c r="AE52" i="14"/>
  <c r="AD49" i="14"/>
  <c r="AI45" i="14"/>
  <c r="AH45" i="14" s="1"/>
  <c r="AF45" i="14"/>
  <c r="AI48" i="14"/>
  <c r="AH48" i="14" s="1"/>
  <c r="AF48" i="14"/>
  <c r="AG51" i="14"/>
  <c r="AK51" i="14" s="1"/>
  <c r="AF32" i="14"/>
  <c r="AI46" i="14"/>
  <c r="AH46" i="14" s="1"/>
  <c r="AF46" i="14"/>
  <c r="AH9" i="14"/>
  <c r="AG50" i="14"/>
  <c r="AI47" i="14"/>
  <c r="AH47" i="14" s="1"/>
  <c r="AF47" i="14"/>
  <c r="AD27" i="14"/>
  <c r="AD51" i="14" s="1"/>
  <c r="P48" i="14"/>
  <c r="Q48" i="14" s="1"/>
  <c r="P47" i="14"/>
  <c r="Q47" i="14" s="1"/>
  <c r="P28" i="14"/>
  <c r="Q28" i="14" s="1"/>
  <c r="P30" i="14"/>
  <c r="Q30" i="14" s="1"/>
  <c r="P38" i="14"/>
  <c r="Q38" i="14" s="1"/>
  <c r="P40" i="14"/>
  <c r="Q40" i="14" s="1"/>
  <c r="P39" i="14"/>
  <c r="Q39" i="14" s="1"/>
  <c r="P29" i="14"/>
  <c r="Q29" i="14" s="1"/>
  <c r="P31" i="14"/>
  <c r="Q31" i="14" s="1"/>
  <c r="P37" i="14"/>
  <c r="Q37" i="14" s="1"/>
  <c r="P36" i="14"/>
  <c r="Q36" i="14" s="1"/>
  <c r="P34" i="14"/>
  <c r="Q34" i="14" s="1"/>
  <c r="P35" i="14"/>
  <c r="Q35" i="14" s="1"/>
  <c r="P44" i="14"/>
  <c r="Q44" i="14" s="1"/>
  <c r="P43" i="14"/>
  <c r="Q43" i="14" s="1"/>
  <c r="AD52" i="14" l="1"/>
  <c r="AF50" i="14"/>
  <c r="AJ50" i="14" s="1"/>
  <c r="AF51" i="14"/>
  <c r="AJ51" i="14" s="1"/>
  <c r="AF49" i="14"/>
  <c r="AK50" i="14"/>
  <c r="AG52" i="14"/>
  <c r="AH49" i="14"/>
  <c r="AI49" i="14"/>
  <c r="AB48" i="12"/>
  <c r="AD48" i="12"/>
  <c r="AD49" i="12" s="1"/>
  <c r="AF48" i="12"/>
  <c r="AF50" i="12"/>
  <c r="AF49" i="12"/>
  <c r="AD50" i="12"/>
  <c r="AB49" i="12"/>
  <c r="AB50" i="12"/>
  <c r="Z50" i="12"/>
  <c r="Z48" i="12"/>
  <c r="X50" i="12"/>
  <c r="V48" i="12"/>
  <c r="V51" i="12" l="1"/>
  <c r="AH48" i="12"/>
  <c r="AF52" i="14"/>
  <c r="AK49" i="14"/>
  <c r="AK52" i="14" s="1"/>
  <c r="AI52" i="14"/>
  <c r="AJ49" i="14"/>
  <c r="AJ52" i="14" s="1"/>
  <c r="AH52" i="14"/>
  <c r="AB51" i="12"/>
  <c r="Z51" i="12"/>
  <c r="AF51" i="12"/>
  <c r="X51" i="12"/>
  <c r="AD51" i="12"/>
  <c r="T49" i="12"/>
  <c r="AH49" i="12" s="1"/>
  <c r="T50" i="12"/>
  <c r="AH50" i="12" s="1"/>
  <c r="K32" i="12"/>
  <c r="K35" i="12"/>
  <c r="K45" i="12"/>
  <c r="K36" i="12"/>
  <c r="K29" i="12"/>
  <c r="K28" i="12"/>
  <c r="K44" i="12"/>
  <c r="J32" i="12"/>
  <c r="J35" i="12"/>
  <c r="J45" i="12"/>
  <c r="J36" i="12"/>
  <c r="J29" i="12"/>
  <c r="J28" i="12"/>
  <c r="J37" i="12"/>
  <c r="J44" i="12"/>
  <c r="K22" i="12"/>
  <c r="K21" i="12"/>
  <c r="K17" i="12"/>
  <c r="K16" i="12"/>
  <c r="K15" i="12"/>
  <c r="K13" i="12"/>
  <c r="K12" i="12"/>
  <c r="K11" i="12"/>
  <c r="K9" i="12"/>
  <c r="J22" i="12"/>
  <c r="J21" i="12"/>
  <c r="J13" i="12"/>
  <c r="J12" i="12"/>
  <c r="J11" i="12"/>
  <c r="J9" i="12"/>
  <c r="T51" i="12" l="1"/>
  <c r="L1" i="12"/>
  <c r="L42" i="12" l="1"/>
  <c r="N42" i="12" s="1"/>
  <c r="L8" i="12"/>
  <c r="L38" i="12"/>
  <c r="N38" i="12" s="1"/>
  <c r="L45" i="12"/>
  <c r="N45" i="12" s="1"/>
  <c r="L11" i="12"/>
  <c r="L12" i="12"/>
  <c r="L19" i="12"/>
  <c r="L43" i="12"/>
  <c r="N43" i="12" s="1"/>
  <c r="L15" i="12"/>
  <c r="L44" i="12"/>
  <c r="N44" i="12" s="1"/>
  <c r="L35" i="12"/>
  <c r="N35" i="12" s="1"/>
  <c r="L37" i="12"/>
  <c r="N37" i="12" s="1"/>
  <c r="L40" i="12"/>
  <c r="N40" i="12" s="1"/>
  <c r="L13" i="12"/>
  <c r="L20" i="12"/>
  <c r="L39" i="12"/>
  <c r="N39" i="12" s="1"/>
  <c r="L28" i="12"/>
  <c r="N28" i="12" s="1"/>
  <c r="L34" i="12"/>
  <c r="N34" i="12" s="1"/>
  <c r="L14" i="12"/>
  <c r="L21" i="12"/>
  <c r="L29" i="12"/>
  <c r="N29" i="12" s="1"/>
  <c r="L22" i="12"/>
  <c r="L25" i="12"/>
  <c r="L41" i="12"/>
  <c r="N41" i="12" s="1"/>
  <c r="L36" i="12"/>
  <c r="N36" i="12" s="1"/>
  <c r="L30" i="12"/>
  <c r="N30" i="12" s="1"/>
  <c r="L16" i="12"/>
  <c r="L23" i="12"/>
  <c r="L33" i="12"/>
  <c r="N33" i="12" s="1"/>
  <c r="L27" i="12"/>
  <c r="N27" i="12" s="1"/>
  <c r="L10" i="12"/>
  <c r="L47" i="12"/>
  <c r="N47" i="12" s="1"/>
  <c r="L46" i="12"/>
  <c r="N46" i="12" s="1"/>
  <c r="L32" i="12"/>
  <c r="N32" i="12" s="1"/>
  <c r="L17" i="12"/>
  <c r="L24" i="12"/>
  <c r="L31" i="12"/>
  <c r="N31" i="12" s="1"/>
  <c r="L18" i="12"/>
  <c r="L9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B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<sst xmlns="http://schemas.openxmlformats.org/spreadsheetml/2006/main" count="3196" uniqueCount="444">
  <si>
    <t>Administrative Post</t>
  </si>
  <si>
    <t>Suco</t>
  </si>
  <si>
    <t>Road Name</t>
  </si>
  <si>
    <t>Start Point</t>
  </si>
  <si>
    <t>X Coordinate</t>
  </si>
  <si>
    <t>Y Coordinate</t>
  </si>
  <si>
    <t>Length in km</t>
  </si>
  <si>
    <t>Type</t>
  </si>
  <si>
    <t>B</t>
  </si>
  <si>
    <t>Rehabilitation Cost in '000 USD</t>
  </si>
  <si>
    <t>Per km</t>
  </si>
  <si>
    <t>Total</t>
  </si>
  <si>
    <t>USD</t>
  </si>
  <si>
    <t>km</t>
  </si>
  <si>
    <t>G = Good</t>
  </si>
  <si>
    <t>F = Fair</t>
  </si>
  <si>
    <t>B = Bad</t>
  </si>
  <si>
    <t>Routine Maint.</t>
  </si>
  <si>
    <t>Period. Maint.</t>
  </si>
  <si>
    <t>Rehabilitation</t>
  </si>
  <si>
    <t>TOTAL</t>
  </si>
  <si>
    <t xml:space="preserve">Routine Maintenance </t>
  </si>
  <si>
    <t>Periodic Maintenance</t>
  </si>
  <si>
    <t>Earth</t>
  </si>
  <si>
    <t>Bitumen</t>
  </si>
  <si>
    <t>G</t>
  </si>
  <si>
    <t>Existing Surface Condition</t>
  </si>
  <si>
    <t>Suco Population</t>
  </si>
  <si>
    <t>Suco Area (km2)</t>
  </si>
  <si>
    <t>Road Priority Index</t>
  </si>
  <si>
    <t>Perception</t>
  </si>
  <si>
    <r>
      <t xml:space="preserve">Annual Investment </t>
    </r>
    <r>
      <rPr>
        <b/>
        <sz val="11"/>
        <color rgb="FFC00000"/>
        <rFont val="Arial Narrow"/>
        <family val="2"/>
      </rPr>
      <t>Plan</t>
    </r>
    <r>
      <rPr>
        <b/>
        <sz val="11"/>
        <color theme="1"/>
        <rFont val="Arial Narrow"/>
        <family val="2"/>
      </rPr>
      <t xml:space="preserve"> for Rehabilitation  (in '000 USD)</t>
    </r>
  </si>
  <si>
    <t>S Zone influence (km2)</t>
  </si>
  <si>
    <t>No.</t>
  </si>
  <si>
    <t>Road Code</t>
  </si>
  <si>
    <t>LA011</t>
  </si>
  <si>
    <t>LA097</t>
  </si>
  <si>
    <t>LA012</t>
  </si>
  <si>
    <t>LA007</t>
  </si>
  <si>
    <t>LA004</t>
  </si>
  <si>
    <t>LA043</t>
  </si>
  <si>
    <t>LA005</t>
  </si>
  <si>
    <t>D</t>
  </si>
  <si>
    <t>Luro</t>
  </si>
  <si>
    <t>Lautem</t>
  </si>
  <si>
    <t>Lospalos</t>
  </si>
  <si>
    <t>Iliomar</t>
  </si>
  <si>
    <t>Luro, Baricafa</t>
  </si>
  <si>
    <t>Luro, Baricafa,Lakawa</t>
  </si>
  <si>
    <t>Ililai</t>
  </si>
  <si>
    <t>Fuiluro,Home</t>
  </si>
  <si>
    <t>Home</t>
  </si>
  <si>
    <t>Fuiluro,Muapitine</t>
  </si>
  <si>
    <t>Leuro,Souro</t>
  </si>
  <si>
    <t>Cainliu</t>
  </si>
  <si>
    <t>Cainliu,Trilolo</t>
  </si>
  <si>
    <t>Cainliu,Larisula</t>
  </si>
  <si>
    <t>Muapitine</t>
  </si>
  <si>
    <t>Souro</t>
  </si>
  <si>
    <t>Cainliu,Apatmuto</t>
  </si>
  <si>
    <t>Apatmuto,Kanfuru</t>
  </si>
  <si>
    <t>Kanfuro</t>
  </si>
  <si>
    <t>Dirinu</t>
  </si>
  <si>
    <t>Luro - baricafa STA 0+000 - 7+000</t>
  </si>
  <si>
    <t>Luro-Kotamuto-Lakawa STA 0+000 - 6+500</t>
  </si>
  <si>
    <t>Dasidara - Liquidiga STA 0+000-10+500</t>
  </si>
  <si>
    <t>Fuiluro - Home STA 0+000-2+500</t>
  </si>
  <si>
    <t>Fuiluro - Home STA 2+500-3+500</t>
  </si>
  <si>
    <t>Fuiluro - Muapitine STA 0+000-7+000</t>
  </si>
  <si>
    <t>Leuro - Sourolua STA 0+000-2+650</t>
  </si>
  <si>
    <t>Cainliu - Larisula I STA 0+000-2+700</t>
  </si>
  <si>
    <t>Cainliu - Larisula II STA 2+700-5+400</t>
  </si>
  <si>
    <t>Cainliu - Larisula III STA 8+750-11+050</t>
  </si>
  <si>
    <t>Cainliu - Larisula IV 11+050-13+050</t>
  </si>
  <si>
    <t>Muapitine - Malahara STA 7+000 - 10+00</t>
  </si>
  <si>
    <t>Souro - Nairete STA 0+000 - 3+000</t>
  </si>
  <si>
    <t>Souro - Lutrula STA 0+000 - 2+700</t>
  </si>
  <si>
    <t>Caenliu - Apatmuto STA 0+000 - 1+700</t>
  </si>
  <si>
    <t>Apatmuto - Kanfuru STA 0+000 - 2+000</t>
  </si>
  <si>
    <t>Kanfuru - Larimi STA 0+000 - 2+000</t>
  </si>
  <si>
    <t>Dirinu - Larimi STA 0+000 - 2+000</t>
  </si>
  <si>
    <t>Dirinu - Larimi STA 2+000 - 4+700</t>
  </si>
  <si>
    <t>Plum/gravel</t>
  </si>
  <si>
    <t>Gravel/Bitumen</t>
  </si>
  <si>
    <t>Gravel</t>
  </si>
  <si>
    <t>F</t>
  </si>
  <si>
    <t>LA013</t>
  </si>
  <si>
    <t>LA033</t>
  </si>
  <si>
    <t>LA009</t>
  </si>
  <si>
    <t>LA010</t>
  </si>
  <si>
    <t>LA008</t>
  </si>
  <si>
    <t>LA003</t>
  </si>
  <si>
    <t>LA001</t>
  </si>
  <si>
    <t>LA014</t>
  </si>
  <si>
    <t>Tutuala</t>
  </si>
  <si>
    <t>Lore</t>
  </si>
  <si>
    <t>Souro - Nairete STA 0+000 - 1+000</t>
  </si>
  <si>
    <t>Home -Reisouro STA 0+000 - 2+000</t>
  </si>
  <si>
    <t>Leikdana - Afaia 0+000 - 1+800</t>
  </si>
  <si>
    <t>Bulavai - Luto leten 0+000 - 5+000</t>
  </si>
  <si>
    <t>Zamanisi - Talahira STA 0+000 - 1+500</t>
  </si>
  <si>
    <t>Maribere - Buanomar STA 0+000 - 4+000</t>
  </si>
  <si>
    <t>Iliomar - Caentau STA 0+000 - 3+000</t>
  </si>
  <si>
    <t>Iliomar - Iradarat STA 0+000 - 8+500</t>
  </si>
  <si>
    <t>Iliomar - Fuat Sta 0+000 - 3+050</t>
  </si>
  <si>
    <t>Paiahara - Mauwedara STA 0+000 - 3+500</t>
  </si>
  <si>
    <t>Motara - Bauro STA 0+000 - 4+200</t>
  </si>
  <si>
    <t>Lore -Chai STA 0+000 - 5+000</t>
  </si>
  <si>
    <t>Iliomar - Larisouro STA 0+000 - 2+500</t>
  </si>
  <si>
    <t>Lakawa - Wairoke STA 0+000 - 4+750</t>
  </si>
  <si>
    <t>Soekili - Irauno STA 0+000 - 7+500</t>
  </si>
  <si>
    <t>Tutuala - Valu STA 0+000 - 8+000</t>
  </si>
  <si>
    <t>Odofuru - Baduru STA 0+000 - 10+300</t>
  </si>
  <si>
    <t>Iliomar - Caenleu STA 0+000 - 4+000</t>
  </si>
  <si>
    <t>Maina I - Parlamento STA 0+000 - 5+700</t>
  </si>
  <si>
    <t>Parlamento - Soekili STA 0+000 - 7+900</t>
  </si>
  <si>
    <t>Lautem - Parlamento 0+000 - 2+100</t>
  </si>
  <si>
    <t>Muapitine - Malahara STA 10+00- 13+550</t>
  </si>
  <si>
    <t>Serelau -Baduro STA 0+000 - 7+900</t>
  </si>
  <si>
    <t>Lospalos - Souro STA 0+000 - 5+800</t>
  </si>
  <si>
    <t>Baricafa</t>
  </si>
  <si>
    <t>Parlamento</t>
  </si>
  <si>
    <t>Serelau</t>
  </si>
  <si>
    <t>Barikafa</t>
  </si>
  <si>
    <t>barikafa</t>
  </si>
  <si>
    <t xml:space="preserve">Iliomar </t>
  </si>
  <si>
    <t>Maina II</t>
  </si>
  <si>
    <t>Bauro</t>
  </si>
  <si>
    <t>Lore I</t>
  </si>
  <si>
    <t>Barikaca - Dirimuni STA 0+000 - 8+000</t>
  </si>
  <si>
    <t>Lakawa, Wairoke</t>
  </si>
  <si>
    <t>Parlamento,Com</t>
  </si>
  <si>
    <t>Baduro</t>
  </si>
  <si>
    <t>Caenliu</t>
  </si>
  <si>
    <t>maina I,Parlamento</t>
  </si>
  <si>
    <t>AC-BC</t>
  </si>
  <si>
    <t>IRI</t>
  </si>
  <si>
    <t>Plum/Bitumen</t>
  </si>
  <si>
    <t>telford</t>
  </si>
  <si>
    <t>PoP Serve</t>
  </si>
  <si>
    <t>Chai - Postu Foun Kapaleti STA. 0+000 - 3+000</t>
  </si>
  <si>
    <t>Lore I, II</t>
  </si>
  <si>
    <t>TOTAL LAUTEM MUNICIPALITY</t>
  </si>
  <si>
    <t>Road Priority Index (PI)</t>
  </si>
  <si>
    <t>Bitumen/Gravel</t>
  </si>
  <si>
    <t>bitumen</t>
  </si>
  <si>
    <t>rock</t>
  </si>
  <si>
    <t>End  Point</t>
  </si>
  <si>
    <t>International Roughness  Index (IRI)</t>
  </si>
  <si>
    <t>Annual Investment Plan for Rehabilitation  (in '000 USD)</t>
  </si>
  <si>
    <t>Sucos</t>
  </si>
  <si>
    <t>Priority Rangkin in Municipality</t>
  </si>
  <si>
    <t>RRMPIS Lautem Municipality and Annual Investment Plan for Rehabilitation 2023 - 2027</t>
  </si>
  <si>
    <t>LIST OF IDENTIFICATION  RURAL ROADS LAUTEM MUNICIPALITY</t>
  </si>
  <si>
    <t>D (ERA)</t>
  </si>
  <si>
    <t>E</t>
  </si>
  <si>
    <t>Com</t>
  </si>
  <si>
    <t>Com - Eteasa lepek Sta 0+000 - 2+500</t>
  </si>
  <si>
    <t>TOTAL LENGTH (Km)</t>
  </si>
  <si>
    <t>Road Name on going</t>
  </si>
  <si>
    <t>Code</t>
  </si>
  <si>
    <t>Length (Km)</t>
  </si>
  <si>
    <t>Road Name New</t>
  </si>
  <si>
    <t>Lori - Sokolo'o STA 0+000 - 5+000</t>
  </si>
  <si>
    <t>Luro-Kotamutu-Lakawa 0+000 - 6+500</t>
  </si>
  <si>
    <t>Plum/Gravel</t>
  </si>
  <si>
    <t>Luro, barikafa, Lakawa</t>
  </si>
  <si>
    <t>Road Class</t>
  </si>
  <si>
    <t>Lakawa - Buanomar 0+000 - 2+000</t>
  </si>
  <si>
    <t>E1</t>
  </si>
  <si>
    <t>Wairoke - Iutu 0+000 - 1+200</t>
  </si>
  <si>
    <t>Wairoke - Afanami- Soba - Waniria 0+000 -3+000</t>
  </si>
  <si>
    <t>Maribere - Buanomar 0+000 - 3+650</t>
  </si>
  <si>
    <t>Afabubo</t>
  </si>
  <si>
    <t>Afabubo - Ilidui 0+000 - 4+000</t>
  </si>
  <si>
    <t xml:space="preserve">Dadus Estrada Rural Posto Administrativo Luro </t>
  </si>
  <si>
    <t>E2</t>
  </si>
  <si>
    <t>Dadus Estrada Rural Posto Administrativo Iliomar</t>
  </si>
  <si>
    <t>Dadus Estrada Rural Posto Administrativo Lore</t>
  </si>
  <si>
    <t>Remarks</t>
  </si>
  <si>
    <t>Km</t>
  </si>
  <si>
    <t>Completion</t>
  </si>
  <si>
    <t xml:space="preserve">On going </t>
  </si>
  <si>
    <t>Tender</t>
  </si>
  <si>
    <t>Plan</t>
  </si>
  <si>
    <t>Class D</t>
  </si>
  <si>
    <t>Class E1</t>
  </si>
  <si>
    <t>Class E2</t>
  </si>
  <si>
    <t xml:space="preserve">Dadus Estrada Rural Posto Administrativo Lautem </t>
  </si>
  <si>
    <t>Serelau -Baduro-Maina 2 STA 0+000 - 10+000</t>
  </si>
  <si>
    <t>Odofuru - Baduru-Maina 2 STA 0+000 - 9+000</t>
  </si>
  <si>
    <t>Laivai</t>
  </si>
  <si>
    <t>Laivai - Boruwatu - Waniria 0+000 - 7+250</t>
  </si>
  <si>
    <t>Waniria - Wairoke 7+250 - 18+000</t>
  </si>
  <si>
    <t>Dasidara - Lequidiga 0+000 - 10+500</t>
  </si>
  <si>
    <t>Gravel/Plum</t>
  </si>
  <si>
    <t>Asakau - Ilidui 0+000 - 7+250</t>
  </si>
  <si>
    <t>Daudere</t>
  </si>
  <si>
    <t>126.817407°</t>
  </si>
  <si>
    <t xml:space="preserve"> -8.472020°</t>
  </si>
  <si>
    <t>126.728329°</t>
  </si>
  <si>
    <t xml:space="preserve"> -8.408659°</t>
  </si>
  <si>
    <t>126.772098°</t>
  </si>
  <si>
    <t xml:space="preserve"> -8.421941°</t>
  </si>
  <si>
    <t>126.780579°</t>
  </si>
  <si>
    <t xml:space="preserve"> -8.473285°</t>
  </si>
  <si>
    <t>Iraonu - Soekili STA 0+000 - 7+500</t>
  </si>
  <si>
    <t>Com-Eteasa lepek - Muapusu  0+000 - 4+000</t>
  </si>
  <si>
    <t>127.062348°</t>
  </si>
  <si>
    <t xml:space="preserve"> -8.361879°</t>
  </si>
  <si>
    <t>127.091713°</t>
  </si>
  <si>
    <t xml:space="preserve"> -8.367022°</t>
  </si>
  <si>
    <t>Werukoco - Horo 0+000 - 2+500</t>
  </si>
  <si>
    <t>126.893045°</t>
  </si>
  <si>
    <t xml:space="preserve"> -8.375522°</t>
  </si>
  <si>
    <t>126.894820°</t>
  </si>
  <si>
    <t xml:space="preserve"> -8.393351°</t>
  </si>
  <si>
    <t>Maina I</t>
  </si>
  <si>
    <t>Maina I - Lee pisa STA 0+000 - 0+400</t>
  </si>
  <si>
    <t>126.911230°</t>
  </si>
  <si>
    <t xml:space="preserve"> -8.402108°</t>
  </si>
  <si>
    <t>Plum</t>
  </si>
  <si>
    <t>Serelau - Poruwari - Makalodo 0+000 - 1+200</t>
  </si>
  <si>
    <t>Samalari - Titilari 0+000 - 3+000</t>
  </si>
  <si>
    <t>126.735658°</t>
  </si>
  <si>
    <t xml:space="preserve"> -8.426684°</t>
  </si>
  <si>
    <t>126.734031°</t>
  </si>
  <si>
    <t xml:space="preserve"> -8.451743°</t>
  </si>
  <si>
    <t>126.855402°</t>
  </si>
  <si>
    <t xml:space="preserve"> -8.439917°</t>
  </si>
  <si>
    <t>126.857204°</t>
  </si>
  <si>
    <t xml:space="preserve"> -8.447330°</t>
  </si>
  <si>
    <t>126.787095°</t>
  </si>
  <si>
    <t xml:space="preserve"> -8.509211°</t>
  </si>
  <si>
    <t>Luarai - Motara STA 0+000 - 4+200</t>
  </si>
  <si>
    <t>Fuiluro - Home STA 0+000-3+500</t>
  </si>
  <si>
    <t>Plum/Asphalt</t>
  </si>
  <si>
    <t>Fuiluro - Muapitine - Malahara STA 0+000-19+875</t>
  </si>
  <si>
    <t>Plum/Asphalt/Gravel</t>
  </si>
  <si>
    <t>127.006463°</t>
  </si>
  <si>
    <t xml:space="preserve"> -8.517431°</t>
  </si>
  <si>
    <t>127.164508°</t>
  </si>
  <si>
    <t xml:space="preserve"> -8.460908°</t>
  </si>
  <si>
    <t>126.986853°</t>
  </si>
  <si>
    <t xml:space="preserve"> -8.508970°</t>
  </si>
  <si>
    <t>126.958386°</t>
  </si>
  <si>
    <t xml:space="preserve"> -8.498975°</t>
  </si>
  <si>
    <t>126.912660°</t>
  </si>
  <si>
    <t xml:space="preserve"> -8.536977°</t>
  </si>
  <si>
    <t>126.916622°</t>
  </si>
  <si>
    <t xml:space="preserve"> -8.556575°</t>
  </si>
  <si>
    <t>plum/Gravel</t>
  </si>
  <si>
    <t>Dadus Estrada Rural Posto Administrativo Lospalos</t>
  </si>
  <si>
    <t>126.943732°</t>
  </si>
  <si>
    <t xml:space="preserve"> -8.542625°</t>
  </si>
  <si>
    <t>126.933750°</t>
  </si>
  <si>
    <t xml:space="preserve"> -8.555501°</t>
  </si>
  <si>
    <t>Leuro - Sourolua STA 0+000-3+000</t>
  </si>
  <si>
    <t>Fuiluro, Lore I</t>
  </si>
  <si>
    <t>126.927723°</t>
  </si>
  <si>
    <t xml:space="preserve"> -8.533231°</t>
  </si>
  <si>
    <t>Rua Belta 3 - Translereleho - Ililapa STA. 0+000 -8+000</t>
  </si>
  <si>
    <t>Penmac/gravel</t>
  </si>
  <si>
    <t>Foema'a - O'omukan STA. 0+000 - 1+000</t>
  </si>
  <si>
    <t>126.946059°</t>
  </si>
  <si>
    <t xml:space="preserve"> -8.547206°</t>
  </si>
  <si>
    <t>126.945622°</t>
  </si>
  <si>
    <t xml:space="preserve"> -8.543239°</t>
  </si>
  <si>
    <t>Sepelata - Nanafoe STA. 0+000 - 3+275</t>
  </si>
  <si>
    <t>127.062033°</t>
  </si>
  <si>
    <t xml:space="preserve"> -8.434346°</t>
  </si>
  <si>
    <t>127.074358°</t>
  </si>
  <si>
    <t xml:space="preserve"> -8.455846°</t>
  </si>
  <si>
    <t>Somoco - Nanafoe STA. 0+000 - 3+716</t>
  </si>
  <si>
    <t>127.079140°</t>
  </si>
  <si>
    <t xml:space="preserve"> -8.427708°</t>
  </si>
  <si>
    <t>127.071660°</t>
  </si>
  <si>
    <t xml:space="preserve"> -8.459480°</t>
  </si>
  <si>
    <t>127.001686°</t>
  </si>
  <si>
    <t xml:space="preserve"> -8.520662°</t>
  </si>
  <si>
    <t>126.990151°</t>
  </si>
  <si>
    <t xml:space="preserve"> -8.549428°</t>
  </si>
  <si>
    <t>Souro - Nairete-Leuro STA 0+000 - 5+800</t>
  </si>
  <si>
    <t>Fuiloru</t>
  </si>
  <si>
    <t>Tchaiwaca - Souro STA. 0+000 - 1+500</t>
  </si>
  <si>
    <t>Foema'a - Cenumatu STA. 0+000 - 2+300</t>
  </si>
  <si>
    <t>126.983656°</t>
  </si>
  <si>
    <t xml:space="preserve"> -8.529112°</t>
  </si>
  <si>
    <t>126.972432°</t>
  </si>
  <si>
    <t xml:space="preserve"> -8.535521°</t>
  </si>
  <si>
    <t>Foema'a - Luturula STA 0+000 - 2+300</t>
  </si>
  <si>
    <t>Naireta - Louru STA. 0+000 - 1+000</t>
  </si>
  <si>
    <t>126.944425°</t>
  </si>
  <si>
    <t xml:space="preserve"> -8.517291°</t>
  </si>
  <si>
    <t>Home - Lilapuhu - Home lama STA. 3+500 - 7+500</t>
  </si>
  <si>
    <t>Penmac/eath</t>
  </si>
  <si>
    <t>Cacawei</t>
  </si>
  <si>
    <t>Cacawei - Ailarinu 0+000 - 4+250</t>
  </si>
  <si>
    <t>126.884642°</t>
  </si>
  <si>
    <t xml:space="preserve"> -8.568080°</t>
  </si>
  <si>
    <t>Dadus Estrada Rural Posto Administrativo Tutuala</t>
  </si>
  <si>
    <t>Tutuala - Walu STA. 0+000 - 8+000</t>
  </si>
  <si>
    <t>Asphalt AC-BC</t>
  </si>
  <si>
    <t>Mehara</t>
  </si>
  <si>
    <t>Porlamanu - Malahara STA. 0+000 - 8+260</t>
  </si>
  <si>
    <t>127.198485°</t>
  </si>
  <si>
    <t xml:space="preserve"> -8.399130°</t>
  </si>
  <si>
    <t>127.163945°</t>
  </si>
  <si>
    <t xml:space="preserve"> -8.460730°</t>
  </si>
  <si>
    <t>Chai - Puasoru - Puarenara STA. 0+000 - 5+500</t>
  </si>
  <si>
    <t>Lore II</t>
  </si>
  <si>
    <t>127.010899°</t>
  </si>
  <si>
    <t xml:space="preserve"> -8.611768°</t>
  </si>
  <si>
    <t>127.050117°</t>
  </si>
  <si>
    <t xml:space="preserve"> -8.597305°</t>
  </si>
  <si>
    <t>127.010055°</t>
  </si>
  <si>
    <t xml:space="preserve"> -8.612435°</t>
  </si>
  <si>
    <t>127.007309°</t>
  </si>
  <si>
    <t xml:space="preserve"> -8.619948°</t>
  </si>
  <si>
    <t>Chai - Postu Foun - Kapaleti STA. 0+000 - 1+500</t>
  </si>
  <si>
    <t>Lori - Sokolo STA. 0+000 - 5+500</t>
  </si>
  <si>
    <t>127.024502°</t>
  </si>
  <si>
    <t xml:space="preserve"> -8.663429°</t>
  </si>
  <si>
    <t>126.985513°</t>
  </si>
  <si>
    <t xml:space="preserve"> -8.571559°</t>
  </si>
  <si>
    <t>126.983580°</t>
  </si>
  <si>
    <t xml:space="preserve"> -8.571788°</t>
  </si>
  <si>
    <t>Ililapa - Haitupuka STA. 0+000 - 1+000</t>
  </si>
  <si>
    <t>Process</t>
  </si>
  <si>
    <t>Project Status</t>
  </si>
  <si>
    <t>TOTAL (KM) ESTRADA RURAL POSTU ADM LAUTEM HO KLASSIFIKASAUN</t>
  </si>
  <si>
    <t>TOTAL (KM) ESTRADA RURAL POSTU ADM TUTUALA HO KLASSIFIKASAUN</t>
  </si>
  <si>
    <t>TOTAL (KM) ESTRADA RURAL POSTU ADM LORE HO KLASSIFIKASAUN</t>
  </si>
  <si>
    <t>TOTAL (KM) ESTRADA RURAL POSTU ADM LURO HO KLASSIFIKASAUN</t>
  </si>
  <si>
    <t>Fuat</t>
  </si>
  <si>
    <t>Caenliu, Tirilolo</t>
  </si>
  <si>
    <t>126.828035°</t>
  </si>
  <si>
    <t xml:space="preserve"> -8.689696°</t>
  </si>
  <si>
    <t>126.821255°</t>
  </si>
  <si>
    <t xml:space="preserve"> -8.699111°</t>
  </si>
  <si>
    <t>Caenliu - intersection Tirilolo II STA. 0+000 - 0+700</t>
  </si>
  <si>
    <t>Caenliu - intersection Tirilolo I STA. 0+000 - 1+450</t>
  </si>
  <si>
    <t>Plum/gravel/Penmac</t>
  </si>
  <si>
    <t>126.824596°</t>
  </si>
  <si>
    <t xml:space="preserve"> -8.695941°</t>
  </si>
  <si>
    <t>126.826394°</t>
  </si>
  <si>
    <t xml:space="preserve"> -8.700804°</t>
  </si>
  <si>
    <t>Caenliu - Tirilolo - Larimi - Kanfuru STA. 0+000 - 15+800</t>
  </si>
  <si>
    <t>126.827251°</t>
  </si>
  <si>
    <t xml:space="preserve"> -8.701843°</t>
  </si>
  <si>
    <t>126.736102°</t>
  </si>
  <si>
    <t xml:space="preserve"> -8.724986°</t>
  </si>
  <si>
    <t>Iliomar II</t>
  </si>
  <si>
    <t>Akara - Osoira STA. 0+000 - 2+500</t>
  </si>
  <si>
    <t>126.828819°</t>
  </si>
  <si>
    <t xml:space="preserve"> -8.723963°</t>
  </si>
  <si>
    <t>126.820577°</t>
  </si>
  <si>
    <t xml:space="preserve"> -8.733468°</t>
  </si>
  <si>
    <t>Tirilolo</t>
  </si>
  <si>
    <t>126.806724°</t>
  </si>
  <si>
    <t xml:space="preserve"> -8.697731°</t>
  </si>
  <si>
    <t>126.800238°</t>
  </si>
  <si>
    <t xml:space="preserve"> -8.698721°</t>
  </si>
  <si>
    <t>126.799228°</t>
  </si>
  <si>
    <t xml:space="preserve"> -8.703039°</t>
  </si>
  <si>
    <t>intersection Tirilolo - Alarfana Ahasa</t>
  </si>
  <si>
    <t>Iliomar I</t>
  </si>
  <si>
    <t>Postu Antigu - Kawaruut STA. 0+000 - 2+000</t>
  </si>
  <si>
    <t>126.826731°</t>
  </si>
  <si>
    <t xml:space="preserve"> -8.710662°</t>
  </si>
  <si>
    <t>126.824070°</t>
  </si>
  <si>
    <t xml:space="preserve"> -8.723849°</t>
  </si>
  <si>
    <t>Arbulobu - Ambuti STA. 0+000 - 0+800</t>
  </si>
  <si>
    <t>126.808202°</t>
  </si>
  <si>
    <t xml:space="preserve"> -8.690666°</t>
  </si>
  <si>
    <t>TOTAL (KM) ESTRADA RURAL POSTU ADM ILIOMAR HO KLASSIFIKASAUN</t>
  </si>
  <si>
    <t>%</t>
  </si>
  <si>
    <t>Tender 2026</t>
  </si>
  <si>
    <t>Plan 2027-2030</t>
  </si>
  <si>
    <t>Kotamutu</t>
  </si>
  <si>
    <t>Ouroma - Etanisi STA. 0+000 - 1+200</t>
  </si>
  <si>
    <t>Iliomar I- Caentau 0+000 - 3+000</t>
  </si>
  <si>
    <t>Iliomar II - Iradarate Tasi STA. 0+000 - 3+000</t>
  </si>
  <si>
    <t>Daudere - Makalodo 0+000 - 7+000</t>
  </si>
  <si>
    <t>Lereado - Lereira STA.  0+000</t>
  </si>
  <si>
    <t>126.845421°</t>
  </si>
  <si>
    <t xml:space="preserve"> -8.489815°</t>
  </si>
  <si>
    <t>126.849034°</t>
  </si>
  <si>
    <t xml:space="preserve"> -8.500236°</t>
  </si>
  <si>
    <t>126.821902°</t>
  </si>
  <si>
    <t xml:space="preserve"> -8.454951°</t>
  </si>
  <si>
    <t>Total Length (KM)</t>
  </si>
  <si>
    <t>Luarai-Motara</t>
  </si>
  <si>
    <t>Fuiloro - Home</t>
  </si>
  <si>
    <t>Foema'a-Cenumatu</t>
  </si>
  <si>
    <t>Foema'a-O'omukan</t>
  </si>
  <si>
    <t>Leuro-Sorulua</t>
  </si>
  <si>
    <t>Fuiloro-Muapitine</t>
  </si>
  <si>
    <t>Lospalos - Souro</t>
  </si>
  <si>
    <t>Souro-Nairete-Leuro</t>
  </si>
  <si>
    <t>Rua Belta 3-Trans Lereloho-Ililapa</t>
  </si>
  <si>
    <t>Sepelata - Nanafoe</t>
  </si>
  <si>
    <t>Somoco-Nanafoe</t>
  </si>
  <si>
    <t>Tchaiwaca-Souro</t>
  </si>
  <si>
    <t>Foema'a-Luturula</t>
  </si>
  <si>
    <t>Cacawei-Ailarinu</t>
  </si>
  <si>
    <t>Home-Lilapuhu-Home lama</t>
  </si>
  <si>
    <t>Ongoing</t>
  </si>
  <si>
    <t>KM</t>
  </si>
  <si>
    <t>Sub Total I</t>
  </si>
  <si>
    <t>Sub total II</t>
  </si>
  <si>
    <t>Sub total III</t>
  </si>
  <si>
    <t>Sub total IV</t>
  </si>
  <si>
    <t>Sub total V</t>
  </si>
  <si>
    <t>Sub total VI</t>
  </si>
  <si>
    <t>X Cordinate</t>
  </si>
  <si>
    <t>Y Cordinate</t>
  </si>
  <si>
    <t>End Point</t>
  </si>
  <si>
    <t>Total IV</t>
  </si>
  <si>
    <t>Nairete-Louru</t>
  </si>
  <si>
    <t>F= Fair</t>
  </si>
  <si>
    <t>B= Bad</t>
  </si>
  <si>
    <t>126.776349°</t>
  </si>
  <si>
    <t>-8.530754°</t>
  </si>
  <si>
    <t>126.493677°</t>
  </si>
  <si>
    <t xml:space="preserve">  -8.423493°</t>
  </si>
  <si>
    <t>126.501601°</t>
  </si>
  <si>
    <t xml:space="preserve">  -8.44880°</t>
  </si>
  <si>
    <t>126.501145°</t>
  </si>
  <si>
    <t xml:space="preserve">  -8.451460°</t>
  </si>
  <si>
    <t>127.33838°</t>
  </si>
  <si>
    <t xml:space="preserve">  -8.373890°</t>
  </si>
  <si>
    <t>126.493668°</t>
  </si>
  <si>
    <t xml:space="preserve"> -8.321726°</t>
  </si>
  <si>
    <t>126.563616°</t>
  </si>
  <si>
    <t xml:space="preserve">  -8.323366°</t>
  </si>
  <si>
    <t>126.56122°</t>
  </si>
  <si>
    <t xml:space="preserve">  -8.331958°</t>
  </si>
  <si>
    <t>126.524168°</t>
  </si>
  <si>
    <t xml:space="preserve">  -8.333423°</t>
  </si>
  <si>
    <t>126.57792°</t>
  </si>
  <si>
    <t xml:space="preserve">  -8.313231°</t>
  </si>
  <si>
    <t>TOTAL (KM) ESTRADA RURAL POSTU ADMINISTRATIVO LOSPALOS HO KLASSIFIKASAUN</t>
  </si>
  <si>
    <t xml:space="preserve">DADUS PROGRESU ESTRADA RURAL ANIVEL MUNICIPIO LAUTEM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</si>
</sst>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(* #,##0.00_);_(* \(#,##0.00\);_(* &quot;-&quot;??_);_(@_)"/>
    <numFmt numFmtId="165" formatCode="_-* #,##0.0_-;\-* #,##0.0_-;_-* &quot;-&quot;??_-;_-@_-"/>
    <numFmt numFmtId="166" formatCode="_-* #,##0_-;\-* #,##0_-;_-* &quot;-&quot;??_-;_-@_-"/>
    <numFmt numFmtId="167" formatCode="_-* #,##0.0_-;\-* #,##0.0_-;_-* &quot;-&quot;?_-;_-@_-"/>
    <numFmt numFmtId="168" formatCode="_(* #,##0_);_(* \(#,##0\);_(* &quot;-&quot;??_);_(@_)"/>
    <numFmt numFmtId="169" formatCode="0.0000"/>
    <numFmt numFmtId="170" formatCode="#,##0.0"/>
    <numFmt numFmtId="171" formatCode="0.000"/>
    <numFmt numFmtId="172" formatCode="_(* #,##0.0_);_(* \(#,##0.0\);_(* &quot;-&quot;??_);_(@_)"/>
    <numFmt numFmtId="173" formatCode="0.0"/>
    <numFmt numFmtId="174" formatCode="#,##0.000000"/>
    <numFmt numFmtId="175" formatCode="_(* #,##0.0_);_(* \(#,##0.0\);_(* &quot;-&quot;?_);_(@_)"/>
    <numFmt numFmtId="176" formatCode="_-* #,##0.000_-;\-* #,##0.000_-;_-* &quot;-&quot;??_-;_-@_-"/>
    <numFmt numFmtId="177" formatCode="_(* #,##0.000_);_(* \(#,##0.000\);_(* &quot;-&quot;??_);_(@_)"/>
    <numFmt numFmtId="178" formatCode="_-* #,##0.0000_-;\-* #,##0.0000_-;_-* &quot;-&quot;??_-;_-@_-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1"/>
      <color rgb="FFC00000"/>
      <name val="Arial Narrow"/>
      <family val="2"/>
    </font>
    <font>
      <b/>
      <sz val="11"/>
      <color rgb="FF0070C0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Arial Narrow"/>
      <family val="2"/>
    </font>
    <font>
      <sz val="11"/>
      <color rgb="FFFF0000"/>
      <name val="Arial Narrow"/>
      <family val="2"/>
    </font>
    <font>
      <b/>
      <sz val="8"/>
      <color theme="1"/>
      <name val="Arial Narrow"/>
      <family val="2"/>
    </font>
    <font>
      <b/>
      <sz val="18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theme="1"/>
      <name val="Arial Narrow"/>
      <family val="2"/>
    </font>
    <font>
      <b/>
      <sz val="16"/>
      <name val="Arial Narrow"/>
      <family val="2"/>
    </font>
    <font>
      <b/>
      <sz val="16"/>
      <color theme="1"/>
      <name val="Calibri"/>
      <family val="2"/>
      <scheme val="minor"/>
    </font>
    <font>
      <sz val="11"/>
      <color theme="0"/>
      <name val="Arial Narrow"/>
      <family val="2"/>
    </font>
    <font>
      <sz val="16"/>
      <color theme="1"/>
      <name val="Arial Narrow"/>
      <family val="2"/>
    </font>
    <font>
      <b/>
      <sz val="16"/>
      <color theme="1"/>
      <name val="Arial Narrow"/>
      <family val="2"/>
    </font>
    <font>
      <b/>
      <sz val="18"/>
      <name val="Arial Narrow"/>
      <family val="2"/>
    </font>
    <font>
      <b/>
      <sz val="20"/>
      <name val="Arial Narrow"/>
      <family val="2"/>
    </font>
    <font>
      <b/>
      <sz val="16"/>
      <color theme="0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Arial Narrow"/>
      <family val="2"/>
    </font>
    <font>
      <sz val="16"/>
      <name val="Calibri"/>
      <family val="2"/>
      <scheme val="minor"/>
    </font>
    <font>
      <b/>
      <sz val="48"/>
      <color theme="1"/>
      <name val="Arial Narrow"/>
      <family val="2"/>
    </font>
    <font>
      <b/>
      <sz val="26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name val="Arial Narrow"/>
      <family val="2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w Cen MT"/>
      <family val="2"/>
    </font>
    <font>
      <b/>
      <sz val="11"/>
      <color theme="1"/>
      <name val="Tw Cen MT"/>
      <family val="2"/>
    </font>
    <font>
      <sz val="11"/>
      <color theme="1"/>
      <name val="Tw Cen MT"/>
      <family val="2"/>
    </font>
    <font>
      <b/>
      <u/>
      <sz val="11"/>
      <color theme="1"/>
      <name val="Tw Cen MT"/>
      <family val="2"/>
    </font>
    <font>
      <b/>
      <sz val="8"/>
      <color theme="1"/>
      <name val="Tw Cen MT"/>
      <family val="2"/>
    </font>
    <font>
      <sz val="8"/>
      <color theme="1"/>
      <name val="Tw Cen MT"/>
      <family val="2"/>
    </font>
    <font>
      <b/>
      <sz val="24"/>
      <color theme="1"/>
      <name val="Tw Cen MT"/>
      <family val="2"/>
    </font>
    <font>
      <b/>
      <sz val="22"/>
      <color theme="1"/>
      <name val="Tahoma"/>
      <family val="2"/>
    </font>
    <font>
      <sz val="16"/>
      <color theme="1"/>
      <name val="Tw Cen MT"/>
      <family val="2"/>
    </font>
    <font>
      <sz val="18"/>
      <color theme="1"/>
      <name val="Tw Cen MT"/>
      <family val="2"/>
    </font>
    <font>
      <sz val="20"/>
      <color theme="1"/>
      <name val="Tw Cen MT"/>
      <family val="2"/>
    </font>
    <font>
      <b/>
      <sz val="20"/>
      <color theme="1"/>
      <name val="Tw Cen MT"/>
      <family val="2"/>
    </font>
    <font>
      <b/>
      <sz val="18"/>
      <color theme="1"/>
      <name val="Tw Cen MT"/>
      <family val="2"/>
    </font>
    <font>
      <b/>
      <sz val="14"/>
      <color theme="1"/>
      <name val="Tw Cen MT"/>
      <family val="2"/>
    </font>
    <font>
      <b/>
      <sz val="18"/>
      <name val="Tw Cen MT"/>
      <family val="2"/>
    </font>
    <font>
      <b/>
      <sz val="20"/>
      <name val="Tw Cen MT"/>
      <family val="2"/>
    </font>
    <font>
      <b/>
      <sz val="16"/>
      <color theme="0"/>
      <name val="Tw Cen MT"/>
      <family val="2"/>
    </font>
    <font>
      <b/>
      <sz val="26"/>
      <color theme="1"/>
      <name val="Tw Cen MT"/>
      <family val="2"/>
    </font>
    <font>
      <sz val="14"/>
      <color theme="1"/>
      <name val="Tw Cen MT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1782D"/>
        <bgColor indexed="64"/>
      </patternFill>
    </fill>
    <fill>
      <patternFill patternType="solid">
        <fgColor rgb="FF5B9BD5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07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vertical="center"/>
    </xf>
    <xf numFmtId="165" fontId="4" fillId="0" borderId="1" xfId="1" applyNumberFormat="1" applyFont="1" applyBorder="1" applyAlignment="1">
      <alignment vertical="center"/>
    </xf>
    <xf numFmtId="165" fontId="4" fillId="2" borderId="1" xfId="1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65" fontId="4" fillId="0" borderId="1" xfId="1" applyNumberFormat="1" applyFont="1" applyFill="1" applyBorder="1" applyAlignment="1">
      <alignment vertical="center"/>
    </xf>
    <xf numFmtId="166" fontId="4" fillId="0" borderId="0" xfId="1" applyNumberFormat="1" applyFont="1"/>
    <xf numFmtId="0" fontId="4" fillId="3" borderId="1" xfId="0" applyFont="1" applyFill="1" applyBorder="1" applyAlignment="1">
      <alignment vertical="center"/>
    </xf>
    <xf numFmtId="165" fontId="4" fillId="3" borderId="1" xfId="1" applyNumberFormat="1" applyFont="1" applyFill="1" applyBorder="1" applyAlignment="1">
      <alignment vertical="center"/>
    </xf>
    <xf numFmtId="166" fontId="4" fillId="2" borderId="1" xfId="1" applyNumberFormat="1" applyFont="1" applyFill="1" applyBorder="1" applyAlignment="1">
      <alignment vertical="center"/>
    </xf>
    <xf numFmtId="165" fontId="3" fillId="0" borderId="1" xfId="1" applyNumberFormat="1" applyFont="1" applyBorder="1" applyAlignment="1">
      <alignment vertical="center"/>
    </xf>
    <xf numFmtId="166" fontId="3" fillId="0" borderId="1" xfId="1" applyNumberFormat="1" applyFont="1" applyBorder="1" applyAlignment="1">
      <alignment vertical="center"/>
    </xf>
    <xf numFmtId="166" fontId="4" fillId="0" borderId="1" xfId="1" applyNumberFormat="1" applyFont="1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167" fontId="4" fillId="0" borderId="1" xfId="0" applyNumberFormat="1" applyFont="1" applyBorder="1" applyAlignment="1">
      <alignment vertical="center"/>
    </xf>
    <xf numFmtId="0" fontId="4" fillId="4" borderId="6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0" fontId="0" fillId="0" borderId="13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14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4" xfId="0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7" xfId="0" applyFill="1" applyBorder="1"/>
    <xf numFmtId="0" fontId="0" fillId="0" borderId="1" xfId="0" applyFill="1" applyBorder="1"/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0" borderId="1" xfId="0" applyBorder="1"/>
    <xf numFmtId="168" fontId="0" fillId="0" borderId="7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 vertical="center"/>
    </xf>
    <xf numFmtId="168" fontId="0" fillId="0" borderId="7" xfId="1" applyNumberFormat="1" applyFont="1" applyFill="1" applyBorder="1" applyAlignment="1">
      <alignment horizontal="center" vertical="center"/>
    </xf>
    <xf numFmtId="168" fontId="4" fillId="4" borderId="1" xfId="0" applyNumberFormat="1" applyFont="1" applyFill="1" applyBorder="1" applyAlignment="1">
      <alignment vertical="center"/>
    </xf>
    <xf numFmtId="168" fontId="4" fillId="3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top" wrapText="1"/>
    </xf>
    <xf numFmtId="0" fontId="0" fillId="6" borderId="1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43" fontId="4" fillId="4" borderId="1" xfId="0" applyNumberFormat="1" applyFont="1" applyFill="1" applyBorder="1" applyAlignment="1">
      <alignment vertical="center"/>
    </xf>
    <xf numFmtId="167" fontId="4" fillId="4" borderId="1" xfId="0" applyNumberFormat="1" applyFont="1" applyFill="1" applyBorder="1" applyAlignment="1">
      <alignment vertical="center"/>
    </xf>
    <xf numFmtId="165" fontId="4" fillId="4" borderId="1" xfId="1" applyNumberFormat="1" applyFont="1" applyFill="1" applyBorder="1" applyAlignment="1">
      <alignment vertical="center"/>
    </xf>
    <xf numFmtId="166" fontId="3" fillId="4" borderId="1" xfId="1" applyNumberFormat="1" applyFont="1" applyFill="1" applyBorder="1" applyAlignment="1">
      <alignment vertical="center"/>
    </xf>
    <xf numFmtId="43" fontId="3" fillId="0" borderId="1" xfId="1" applyNumberFormat="1" applyFont="1" applyBorder="1" applyAlignment="1">
      <alignment vertical="center"/>
    </xf>
    <xf numFmtId="0" fontId="4" fillId="0" borderId="0" xfId="0" applyFont="1" applyFill="1"/>
    <xf numFmtId="0" fontId="0" fillId="7" borderId="14" xfId="0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165" fontId="4" fillId="7" borderId="1" xfId="1" applyNumberFormat="1" applyFont="1" applyFill="1" applyBorder="1" applyAlignment="1">
      <alignment vertical="center"/>
    </xf>
    <xf numFmtId="0" fontId="4" fillId="7" borderId="1" xfId="0" applyFont="1" applyFill="1" applyBorder="1"/>
    <xf numFmtId="166" fontId="4" fillId="7" borderId="1" xfId="1" applyNumberFormat="1" applyFont="1" applyFill="1" applyBorder="1"/>
    <xf numFmtId="0" fontId="4" fillId="0" borderId="6" xfId="0" applyFont="1" applyBorder="1" applyAlignment="1">
      <alignment vertical="center"/>
    </xf>
    <xf numFmtId="166" fontId="4" fillId="0" borderId="6" xfId="1" applyNumberFormat="1" applyFont="1" applyBorder="1"/>
    <xf numFmtId="0" fontId="4" fillId="0" borderId="0" xfId="0" applyFont="1" applyBorder="1" applyAlignment="1">
      <alignment vertical="center"/>
    </xf>
    <xf numFmtId="0" fontId="0" fillId="2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168" fontId="0" fillId="0" borderId="6" xfId="1" applyNumberFormat="1" applyFont="1" applyFill="1" applyBorder="1" applyAlignment="1">
      <alignment horizontal="center" vertical="center"/>
    </xf>
    <xf numFmtId="168" fontId="8" fillId="0" borderId="7" xfId="0" applyNumberFormat="1" applyFont="1" applyFill="1" applyBorder="1" applyAlignment="1">
      <alignment horizontal="center" vertical="center"/>
    </xf>
    <xf numFmtId="168" fontId="4" fillId="0" borderId="1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169" fontId="8" fillId="0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" fontId="4" fillId="3" borderId="1" xfId="1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/>
    <xf numFmtId="0" fontId="5" fillId="0" borderId="5" xfId="0" applyFont="1" applyFill="1" applyBorder="1" applyAlignment="1"/>
    <xf numFmtId="165" fontId="4" fillId="0" borderId="6" xfId="1" applyNumberFormat="1" applyFont="1" applyFill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170" fontId="4" fillId="0" borderId="1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4" fontId="4" fillId="0" borderId="1" xfId="0" applyNumberFormat="1" applyFont="1" applyFill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0" fillId="9" borderId="1" xfId="0" applyFill="1" applyBorder="1" applyAlignment="1">
      <alignment horizontal="center"/>
    </xf>
    <xf numFmtId="0" fontId="0" fillId="0" borderId="1" xfId="0" applyBorder="1" applyAlignment="1"/>
    <xf numFmtId="0" fontId="0" fillId="6" borderId="1" xfId="0" applyFill="1" applyBorder="1" applyAlignment="1"/>
    <xf numFmtId="0" fontId="0" fillId="0" borderId="1" xfId="0" applyFill="1" applyBorder="1" applyAlignment="1"/>
    <xf numFmtId="0" fontId="0" fillId="0" borderId="1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66" fontId="4" fillId="11" borderId="1" xfId="1" applyNumberFormat="1" applyFont="1" applyFill="1" applyBorder="1" applyAlignment="1">
      <alignment vertical="center"/>
    </xf>
    <xf numFmtId="0" fontId="16" fillId="0" borderId="0" xfId="0" applyFont="1"/>
    <xf numFmtId="0" fontId="19" fillId="0" borderId="0" xfId="0" applyFont="1"/>
    <xf numFmtId="0" fontId="26" fillId="0" borderId="1" xfId="0" applyFont="1" applyFill="1" applyBorder="1" applyAlignment="1">
      <alignment vertical="center"/>
    </xf>
    <xf numFmtId="0" fontId="26" fillId="0" borderId="15" xfId="0" applyFont="1" applyFill="1" applyBorder="1" applyAlignment="1">
      <alignment vertical="center"/>
    </xf>
    <xf numFmtId="0" fontId="25" fillId="0" borderId="15" xfId="0" applyFont="1" applyBorder="1"/>
    <xf numFmtId="0" fontId="25" fillId="0" borderId="15" xfId="0" applyFont="1" applyFill="1" applyBorder="1" applyAlignment="1">
      <alignment vertical="center"/>
    </xf>
    <xf numFmtId="0" fontId="25" fillId="0" borderId="1" xfId="0" applyFont="1" applyBorder="1"/>
    <xf numFmtId="168" fontId="25" fillId="0" borderId="1" xfId="0" applyNumberFormat="1" applyFont="1" applyFill="1" applyBorder="1" applyAlignment="1">
      <alignment vertical="center"/>
    </xf>
    <xf numFmtId="166" fontId="25" fillId="0" borderId="1" xfId="1" applyNumberFormat="1" applyFont="1" applyFill="1" applyBorder="1" applyAlignment="1">
      <alignment vertical="center"/>
    </xf>
    <xf numFmtId="0" fontId="26" fillId="0" borderId="17" xfId="0" applyFont="1" applyFill="1" applyBorder="1" applyAlignment="1">
      <alignment vertical="center"/>
    </xf>
    <xf numFmtId="0" fontId="25" fillId="0" borderId="17" xfId="0" applyFont="1" applyBorder="1"/>
    <xf numFmtId="166" fontId="26" fillId="0" borderId="17" xfId="1" applyNumberFormat="1" applyFont="1" applyBorder="1" applyAlignment="1">
      <alignment vertical="center"/>
    </xf>
    <xf numFmtId="0" fontId="18" fillId="4" borderId="15" xfId="0" applyFont="1" applyFill="1" applyBorder="1" applyAlignment="1">
      <alignment horizontal="center" vertical="center"/>
    </xf>
    <xf numFmtId="43" fontId="27" fillId="4" borderId="15" xfId="1" applyFont="1" applyFill="1" applyBorder="1" applyAlignment="1">
      <alignment horizontal="right" vertical="center"/>
    </xf>
    <xf numFmtId="167" fontId="27" fillId="4" borderId="15" xfId="0" applyNumberFormat="1" applyFont="1" applyFill="1" applyBorder="1" applyAlignment="1">
      <alignment horizontal="right" vertical="center"/>
    </xf>
    <xf numFmtId="168" fontId="27" fillId="4" borderId="15" xfId="0" applyNumberFormat="1" applyFont="1" applyFill="1" applyBorder="1" applyAlignment="1">
      <alignment horizontal="right" vertical="center"/>
    </xf>
    <xf numFmtId="165" fontId="27" fillId="4" borderId="15" xfId="1" applyNumberFormat="1" applyFont="1" applyFill="1" applyBorder="1" applyAlignment="1">
      <alignment horizontal="right" vertical="center"/>
    </xf>
    <xf numFmtId="164" fontId="27" fillId="4" borderId="15" xfId="1" applyNumberFormat="1" applyFont="1" applyFill="1" applyBorder="1" applyAlignment="1">
      <alignment horizontal="right" vertical="center"/>
    </xf>
    <xf numFmtId="166" fontId="27" fillId="4" borderId="15" xfId="1" applyNumberFormat="1" applyFont="1" applyFill="1" applyBorder="1" applyAlignment="1">
      <alignment horizontal="right" vertical="center"/>
    </xf>
    <xf numFmtId="166" fontId="18" fillId="4" borderId="15" xfId="1" applyNumberFormat="1" applyFont="1" applyFill="1" applyBorder="1" applyAlignment="1">
      <alignment horizontal="right" vertical="center"/>
    </xf>
    <xf numFmtId="0" fontId="18" fillId="3" borderId="1" xfId="0" applyFont="1" applyFill="1" applyBorder="1" applyAlignment="1">
      <alignment horizontal="center" vertical="center"/>
    </xf>
    <xf numFmtId="43" fontId="27" fillId="3" borderId="1" xfId="1" applyFont="1" applyFill="1" applyBorder="1" applyAlignment="1">
      <alignment horizontal="right" vertical="center"/>
    </xf>
    <xf numFmtId="168" fontId="27" fillId="3" borderId="1" xfId="0" applyNumberFormat="1" applyFont="1" applyFill="1" applyBorder="1" applyAlignment="1">
      <alignment horizontal="right" vertical="center"/>
    </xf>
    <xf numFmtId="165" fontId="27" fillId="3" borderId="1" xfId="1" applyNumberFormat="1" applyFont="1" applyFill="1" applyBorder="1" applyAlignment="1">
      <alignment horizontal="right" vertical="center"/>
    </xf>
    <xf numFmtId="166" fontId="27" fillId="3" borderId="1" xfId="1" applyNumberFormat="1" applyFont="1" applyFill="1" applyBorder="1" applyAlignment="1">
      <alignment horizontal="right" vertical="center"/>
    </xf>
    <xf numFmtId="166" fontId="18" fillId="3" borderId="1" xfId="1" applyNumberFormat="1" applyFont="1" applyFill="1" applyBorder="1" applyAlignment="1">
      <alignment horizontal="right" vertical="center"/>
    </xf>
    <xf numFmtId="0" fontId="18" fillId="2" borderId="1" xfId="0" applyFont="1" applyFill="1" applyBorder="1" applyAlignment="1">
      <alignment horizontal="center" vertical="center"/>
    </xf>
    <xf numFmtId="43" fontId="27" fillId="2" borderId="1" xfId="1" applyFont="1" applyFill="1" applyBorder="1" applyAlignment="1">
      <alignment horizontal="right" vertical="center"/>
    </xf>
    <xf numFmtId="165" fontId="27" fillId="2" borderId="1" xfId="1" applyNumberFormat="1" applyFont="1" applyFill="1" applyBorder="1" applyAlignment="1">
      <alignment horizontal="right" vertical="center"/>
    </xf>
    <xf numFmtId="166" fontId="27" fillId="2" borderId="1" xfId="1" applyNumberFormat="1" applyFont="1" applyFill="1" applyBorder="1" applyAlignment="1">
      <alignment horizontal="right" vertical="center"/>
    </xf>
    <xf numFmtId="166" fontId="18" fillId="2" borderId="1" xfId="1" applyNumberFormat="1" applyFont="1" applyFill="1" applyBorder="1" applyAlignment="1">
      <alignment horizontal="right" vertical="center"/>
    </xf>
    <xf numFmtId="0" fontId="18" fillId="0" borderId="17" xfId="0" applyFont="1" applyBorder="1" applyAlignment="1">
      <alignment horizontal="center" vertical="center"/>
    </xf>
    <xf numFmtId="43" fontId="18" fillId="0" borderId="17" xfId="1" applyNumberFormat="1" applyFont="1" applyBorder="1" applyAlignment="1">
      <alignment horizontal="center" vertical="center"/>
    </xf>
    <xf numFmtId="165" fontId="18" fillId="0" borderId="17" xfId="1" applyNumberFormat="1" applyFont="1" applyBorder="1" applyAlignment="1">
      <alignment horizontal="right" vertical="center"/>
    </xf>
    <xf numFmtId="0" fontId="27" fillId="0" borderId="7" xfId="0" applyFont="1" applyFill="1" applyBorder="1" applyAlignment="1">
      <alignment horizontal="center" vertical="center"/>
    </xf>
    <xf numFmtId="171" fontId="27" fillId="0" borderId="1" xfId="0" applyNumberFormat="1" applyFont="1" applyFill="1" applyBorder="1" applyAlignment="1">
      <alignment horizontal="center" vertical="center"/>
    </xf>
    <xf numFmtId="166" fontId="20" fillId="0" borderId="7" xfId="1" applyNumberFormat="1" applyFont="1" applyBorder="1" applyAlignment="1">
      <alignment vertical="center"/>
    </xf>
    <xf numFmtId="168" fontId="27" fillId="0" borderId="7" xfId="0" applyNumberFormat="1" applyFont="1" applyFill="1" applyBorder="1" applyAlignment="1">
      <alignment horizontal="center" vertical="center"/>
    </xf>
    <xf numFmtId="175" fontId="27" fillId="4" borderId="7" xfId="0" applyNumberFormat="1" applyFont="1" applyFill="1" applyBorder="1" applyAlignment="1">
      <alignment horizontal="center" vertical="center"/>
    </xf>
    <xf numFmtId="175" fontId="27" fillId="3" borderId="7" xfId="0" applyNumberFormat="1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7" fillId="0" borderId="1" xfId="0" applyFont="1" applyFill="1" applyBorder="1" applyAlignment="1">
      <alignment vertical="center"/>
    </xf>
    <xf numFmtId="4" fontId="20" fillId="0" borderId="1" xfId="0" applyNumberFormat="1" applyFont="1" applyBorder="1" applyAlignment="1">
      <alignment vertical="center"/>
    </xf>
    <xf numFmtId="0" fontId="27" fillId="0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167" fontId="20" fillId="0" borderId="1" xfId="0" applyNumberFormat="1" applyFont="1" applyFill="1" applyBorder="1" applyAlignment="1">
      <alignment vertical="center"/>
    </xf>
    <xf numFmtId="165" fontId="20" fillId="0" borderId="1" xfId="1" applyNumberFormat="1" applyFont="1" applyFill="1" applyBorder="1" applyAlignment="1">
      <alignment vertical="center"/>
    </xf>
    <xf numFmtId="166" fontId="20" fillId="0" borderId="1" xfId="1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vertical="center"/>
    </xf>
    <xf numFmtId="165" fontId="20" fillId="4" borderId="1" xfId="1" applyNumberFormat="1" applyFont="1" applyFill="1" applyBorder="1" applyAlignment="1">
      <alignment vertical="center"/>
    </xf>
    <xf numFmtId="165" fontId="20" fillId="3" borderId="1" xfId="1" applyNumberFormat="1" applyFont="1" applyFill="1" applyBorder="1" applyAlignment="1">
      <alignment vertical="center"/>
    </xf>
    <xf numFmtId="165" fontId="20" fillId="4" borderId="1" xfId="0" applyNumberFormat="1" applyFont="1" applyFill="1" applyBorder="1" applyAlignment="1">
      <alignment vertical="center"/>
    </xf>
    <xf numFmtId="0" fontId="20" fillId="0" borderId="24" xfId="0" applyFont="1" applyBorder="1" applyAlignment="1">
      <alignment vertical="center"/>
    </xf>
    <xf numFmtId="0" fontId="27" fillId="0" borderId="14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43" fontId="20" fillId="0" borderId="1" xfId="1" applyFont="1" applyBorder="1" applyAlignment="1">
      <alignment vertical="center"/>
    </xf>
    <xf numFmtId="0" fontId="27" fillId="0" borderId="1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left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3" fontId="20" fillId="0" borderId="1" xfId="0" applyNumberFormat="1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4" borderId="7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7" fillId="7" borderId="14" xfId="0" applyFont="1" applyFill="1" applyBorder="1" applyAlignment="1">
      <alignment horizontal="center" vertical="center"/>
    </xf>
    <xf numFmtId="0" fontId="27" fillId="7" borderId="1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vertical="center"/>
    </xf>
    <xf numFmtId="165" fontId="20" fillId="7" borderId="1" xfId="1" applyNumberFormat="1" applyFont="1" applyFill="1" applyBorder="1" applyAlignment="1">
      <alignment vertical="center"/>
    </xf>
    <xf numFmtId="0" fontId="20" fillId="7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vertical="center"/>
    </xf>
    <xf numFmtId="171" fontId="27" fillId="7" borderId="1" xfId="0" applyNumberFormat="1" applyFont="1" applyFill="1" applyBorder="1" applyAlignment="1">
      <alignment horizontal="center" vertical="center"/>
    </xf>
    <xf numFmtId="165" fontId="20" fillId="11" borderId="1" xfId="1" applyNumberFormat="1" applyFont="1" applyFill="1" applyBorder="1" applyAlignment="1">
      <alignment vertical="center"/>
    </xf>
    <xf numFmtId="166" fontId="20" fillId="11" borderId="1" xfId="1" applyNumberFormat="1" applyFont="1" applyFill="1" applyBorder="1" applyAlignment="1">
      <alignment vertical="center"/>
    </xf>
    <xf numFmtId="166" fontId="20" fillId="7" borderId="1" xfId="1" applyNumberFormat="1" applyFont="1" applyFill="1" applyBorder="1" applyAlignment="1">
      <alignment vertical="center"/>
    </xf>
    <xf numFmtId="0" fontId="20" fillId="11" borderId="24" xfId="0" applyFont="1" applyFill="1" applyBorder="1" applyAlignment="1">
      <alignment vertical="center"/>
    </xf>
    <xf numFmtId="0" fontId="27" fillId="0" borderId="1" xfId="0" applyFont="1" applyFill="1" applyBorder="1" applyAlignment="1">
      <alignment vertical="center" wrapText="1"/>
    </xf>
    <xf numFmtId="174" fontId="28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vertical="center"/>
    </xf>
    <xf numFmtId="171" fontId="27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168" fontId="20" fillId="0" borderId="1" xfId="0" applyNumberFormat="1" applyFont="1" applyFill="1" applyBorder="1" applyAlignment="1">
      <alignment vertical="center"/>
    </xf>
    <xf numFmtId="166" fontId="27" fillId="2" borderId="1" xfId="0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horizontal="center" vertical="center"/>
    </xf>
    <xf numFmtId="166" fontId="27" fillId="2" borderId="1" xfId="1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vertical="center"/>
    </xf>
    <xf numFmtId="165" fontId="20" fillId="2" borderId="1" xfId="1" applyNumberFormat="1" applyFont="1" applyFill="1" applyBorder="1" applyAlignment="1">
      <alignment vertical="center"/>
    </xf>
    <xf numFmtId="166" fontId="27" fillId="4" borderId="1" xfId="0" applyNumberFormat="1" applyFont="1" applyFill="1" applyBorder="1" applyAlignment="1">
      <alignment horizontal="center" vertical="center"/>
    </xf>
    <xf numFmtId="166" fontId="20" fillId="4" borderId="1" xfId="1" applyNumberFormat="1" applyFont="1" applyFill="1" applyBorder="1" applyAlignment="1">
      <alignment horizontal="center" vertical="center"/>
    </xf>
    <xf numFmtId="174" fontId="20" fillId="0" borderId="1" xfId="0" applyNumberFormat="1" applyFont="1" applyBorder="1" applyAlignment="1">
      <alignment horizontal="center" vertical="center"/>
    </xf>
    <xf numFmtId="0" fontId="27" fillId="6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166" fontId="20" fillId="0" borderId="1" xfId="1" applyNumberFormat="1" applyFont="1" applyFill="1" applyBorder="1" applyAlignment="1">
      <alignment horizontal="center" vertical="center"/>
    </xf>
    <xf numFmtId="173" fontId="20" fillId="4" borderId="1" xfId="0" applyNumberFormat="1" applyFont="1" applyFill="1" applyBorder="1" applyAlignment="1">
      <alignment vertical="center"/>
    </xf>
    <xf numFmtId="165" fontId="20" fillId="2" borderId="1" xfId="0" applyNumberFormat="1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174" fontId="20" fillId="0" borderId="1" xfId="0" applyNumberFormat="1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/>
    </xf>
    <xf numFmtId="175" fontId="27" fillId="4" borderId="1" xfId="0" applyNumberFormat="1" applyFont="1" applyFill="1" applyBorder="1" applyAlignment="1">
      <alignment horizontal="center" vertical="center"/>
    </xf>
    <xf numFmtId="175" fontId="27" fillId="3" borderId="1" xfId="0" applyNumberFormat="1" applyFont="1" applyFill="1" applyBorder="1" applyAlignment="1">
      <alignment horizontal="center" vertical="center"/>
    </xf>
    <xf numFmtId="174" fontId="20" fillId="0" borderId="6" xfId="0" applyNumberFormat="1" applyFont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vertical="center"/>
    </xf>
    <xf numFmtId="0" fontId="27" fillId="4" borderId="6" xfId="0" applyFont="1" applyFill="1" applyBorder="1" applyAlignment="1">
      <alignment horizontal="center" vertical="center"/>
    </xf>
    <xf numFmtId="166" fontId="20" fillId="0" borderId="6" xfId="1" applyNumberFormat="1" applyFont="1" applyFill="1" applyBorder="1" applyAlignment="1">
      <alignment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13" fillId="4" borderId="6" xfId="0" applyFont="1" applyFill="1" applyBorder="1" applyAlignment="1">
      <alignment horizontal="left"/>
    </xf>
    <xf numFmtId="0" fontId="13" fillId="3" borderId="12" xfId="0" applyFont="1" applyFill="1" applyBorder="1" applyAlignment="1">
      <alignment horizontal="left"/>
    </xf>
    <xf numFmtId="0" fontId="13" fillId="2" borderId="12" xfId="0" applyFont="1" applyFill="1" applyBorder="1" applyAlignment="1">
      <alignment horizontal="left"/>
    </xf>
    <xf numFmtId="0" fontId="13" fillId="0" borderId="3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2" fontId="20" fillId="0" borderId="1" xfId="0" applyNumberFormat="1" applyFont="1" applyFill="1" applyBorder="1" applyAlignment="1">
      <alignment vertical="center"/>
    </xf>
    <xf numFmtId="165" fontId="20" fillId="0" borderId="6" xfId="1" applyNumberFormat="1" applyFont="1" applyFill="1" applyBorder="1" applyAlignment="1">
      <alignment vertical="center"/>
    </xf>
    <xf numFmtId="168" fontId="20" fillId="0" borderId="6" xfId="0" applyNumberFormat="1" applyFont="1" applyFill="1" applyBorder="1" applyAlignment="1">
      <alignment vertical="center"/>
    </xf>
    <xf numFmtId="0" fontId="27" fillId="0" borderId="15" xfId="0" applyFont="1" applyFill="1" applyBorder="1" applyAlignment="1">
      <alignment horizontal="center" vertical="center"/>
    </xf>
    <xf numFmtId="0" fontId="20" fillId="0" borderId="15" xfId="0" applyFont="1" applyBorder="1" applyAlignment="1">
      <alignment vertical="center"/>
    </xf>
    <xf numFmtId="0" fontId="27" fillId="0" borderId="15" xfId="0" applyFont="1" applyFill="1" applyBorder="1" applyAlignment="1">
      <alignment vertical="center"/>
    </xf>
    <xf numFmtId="4" fontId="20" fillId="0" borderId="15" xfId="0" applyNumberFormat="1" applyFont="1" applyBorder="1" applyAlignment="1">
      <alignment vertical="center"/>
    </xf>
    <xf numFmtId="167" fontId="20" fillId="0" borderId="15" xfId="0" applyNumberFormat="1" applyFont="1" applyFill="1" applyBorder="1" applyAlignment="1">
      <alignment vertical="center"/>
    </xf>
    <xf numFmtId="171" fontId="27" fillId="0" borderId="15" xfId="0" applyNumberFormat="1" applyFont="1" applyFill="1" applyBorder="1" applyAlignment="1">
      <alignment horizontal="center" vertical="center"/>
    </xf>
    <xf numFmtId="165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Border="1" applyAlignment="1">
      <alignment vertical="center"/>
    </xf>
    <xf numFmtId="168" fontId="27" fillId="0" borderId="15" xfId="0" applyNumberFormat="1" applyFont="1" applyFill="1" applyBorder="1" applyAlignment="1">
      <alignment horizontal="center" vertical="center"/>
    </xf>
    <xf numFmtId="172" fontId="20" fillId="0" borderId="15" xfId="0" applyNumberFormat="1" applyFont="1" applyFill="1" applyBorder="1" applyAlignment="1">
      <alignment vertical="center"/>
    </xf>
    <xf numFmtId="175" fontId="27" fillId="4" borderId="15" xfId="0" applyNumberFormat="1" applyFont="1" applyFill="1" applyBorder="1" applyAlignment="1">
      <alignment horizontal="center" vertical="center"/>
    </xf>
    <xf numFmtId="172" fontId="20" fillId="4" borderId="15" xfId="0" applyNumberFormat="1" applyFont="1" applyFill="1" applyBorder="1" applyAlignment="1">
      <alignment vertical="center"/>
    </xf>
    <xf numFmtId="165" fontId="20" fillId="4" borderId="15" xfId="1" applyNumberFormat="1" applyFont="1" applyFill="1" applyBorder="1" applyAlignment="1">
      <alignment vertical="center"/>
    </xf>
    <xf numFmtId="175" fontId="27" fillId="3" borderId="15" xfId="0" applyNumberFormat="1" applyFont="1" applyFill="1" applyBorder="1" applyAlignment="1">
      <alignment horizontal="center" vertical="center"/>
    </xf>
    <xf numFmtId="165" fontId="20" fillId="3" borderId="15" xfId="1" applyNumberFormat="1" applyFont="1" applyFill="1" applyBorder="1" applyAlignment="1">
      <alignment vertical="center"/>
    </xf>
    <xf numFmtId="165" fontId="20" fillId="4" borderId="15" xfId="0" applyNumberFormat="1" applyFont="1" applyFill="1" applyBorder="1" applyAlignment="1">
      <alignment vertical="center"/>
    </xf>
    <xf numFmtId="0" fontId="20" fillId="0" borderId="39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20" fillId="11" borderId="25" xfId="0" applyFont="1" applyFill="1" applyBorder="1" applyAlignment="1">
      <alignment vertical="center"/>
    </xf>
    <xf numFmtId="0" fontId="27" fillId="0" borderId="40" xfId="0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 vertical="center"/>
    </xf>
    <xf numFmtId="0" fontId="20" fillId="0" borderId="17" xfId="0" applyFont="1" applyBorder="1" applyAlignment="1">
      <alignment vertical="center"/>
    </xf>
    <xf numFmtId="0" fontId="27" fillId="0" borderId="17" xfId="0" applyFont="1" applyFill="1" applyBorder="1" applyAlignment="1">
      <alignment vertical="center"/>
    </xf>
    <xf numFmtId="174" fontId="20" fillId="0" borderId="17" xfId="0" applyNumberFormat="1" applyFont="1" applyBorder="1" applyAlignment="1">
      <alignment horizontal="center" vertical="center"/>
    </xf>
    <xf numFmtId="0" fontId="27" fillId="4" borderId="17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vertical="center"/>
    </xf>
    <xf numFmtId="171" fontId="27" fillId="0" borderId="17" xfId="0" applyNumberFormat="1" applyFont="1" applyFill="1" applyBorder="1" applyAlignment="1">
      <alignment horizontal="center" vertical="center"/>
    </xf>
    <xf numFmtId="171" fontId="27" fillId="0" borderId="17" xfId="0" applyNumberFormat="1" applyFont="1" applyFill="1" applyBorder="1" applyAlignment="1">
      <alignment horizontal="center" vertical="center" wrapText="1"/>
    </xf>
    <xf numFmtId="166" fontId="20" fillId="0" borderId="17" xfId="1" applyNumberFormat="1" applyFont="1" applyFill="1" applyBorder="1" applyAlignment="1">
      <alignment vertical="center"/>
    </xf>
    <xf numFmtId="0" fontId="20" fillId="0" borderId="17" xfId="0" applyFont="1" applyFill="1" applyBorder="1" applyAlignment="1">
      <alignment horizontal="center" vertical="center"/>
    </xf>
    <xf numFmtId="165" fontId="20" fillId="0" borderId="17" xfId="1" applyNumberFormat="1" applyFont="1" applyFill="1" applyBorder="1" applyAlignment="1">
      <alignment vertical="center"/>
    </xf>
    <xf numFmtId="165" fontId="20" fillId="4" borderId="17" xfId="1" applyNumberFormat="1" applyFont="1" applyFill="1" applyBorder="1" applyAlignment="1">
      <alignment vertical="center"/>
    </xf>
    <xf numFmtId="0" fontId="20" fillId="4" borderId="17" xfId="0" applyFont="1" applyFill="1" applyBorder="1" applyAlignment="1">
      <alignment vertical="center"/>
    </xf>
    <xf numFmtId="175" fontId="27" fillId="4" borderId="17" xfId="0" applyNumberFormat="1" applyFont="1" applyFill="1" applyBorder="1" applyAlignment="1">
      <alignment horizontal="center" vertical="center"/>
    </xf>
    <xf numFmtId="172" fontId="20" fillId="4" borderId="17" xfId="0" applyNumberFormat="1" applyFont="1" applyFill="1" applyBorder="1" applyAlignment="1">
      <alignment vertical="center"/>
    </xf>
    <xf numFmtId="175" fontId="27" fillId="3" borderId="17" xfId="0" applyNumberFormat="1" applyFont="1" applyFill="1" applyBorder="1" applyAlignment="1">
      <alignment horizontal="center" vertical="center"/>
    </xf>
    <xf numFmtId="165" fontId="20" fillId="3" borderId="17" xfId="1" applyNumberFormat="1" applyFont="1" applyFill="1" applyBorder="1" applyAlignment="1">
      <alignment vertical="center"/>
    </xf>
    <xf numFmtId="166" fontId="27" fillId="4" borderId="17" xfId="0" applyNumberFormat="1" applyFont="1" applyFill="1" applyBorder="1" applyAlignment="1">
      <alignment horizontal="center" vertical="center"/>
    </xf>
    <xf numFmtId="173" fontId="20" fillId="4" borderId="17" xfId="0" applyNumberFormat="1" applyFont="1" applyFill="1" applyBorder="1" applyAlignment="1">
      <alignment vertical="center"/>
    </xf>
    <xf numFmtId="0" fontId="20" fillId="0" borderId="41" xfId="0" applyFont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27" fillId="0" borderId="38" xfId="0" applyFont="1" applyFill="1" applyBorder="1" applyAlignment="1">
      <alignment horizontal="center" vertical="center"/>
    </xf>
    <xf numFmtId="170" fontId="20" fillId="0" borderId="15" xfId="0" applyNumberFormat="1" applyFont="1" applyBorder="1" applyAlignment="1">
      <alignment vertical="center"/>
    </xf>
    <xf numFmtId="0" fontId="27" fillId="3" borderId="15" xfId="0" applyFont="1" applyFill="1" applyBorder="1" applyAlignment="1">
      <alignment horizontal="center" vertical="center"/>
    </xf>
    <xf numFmtId="164" fontId="18" fillId="4" borderId="16" xfId="0" applyNumberFormat="1" applyFont="1" applyFill="1" applyBorder="1" applyAlignment="1">
      <alignment horizontal="right" vertical="center"/>
    </xf>
    <xf numFmtId="164" fontId="18" fillId="3" borderId="25" xfId="0" applyNumberFormat="1" applyFont="1" applyFill="1" applyBorder="1" applyAlignment="1">
      <alignment horizontal="right" vertical="center"/>
    </xf>
    <xf numFmtId="164" fontId="18" fillId="2" borderId="25" xfId="0" applyNumberFormat="1" applyFont="1" applyFill="1" applyBorder="1" applyAlignment="1">
      <alignment horizontal="right" vertical="center"/>
    </xf>
    <xf numFmtId="164" fontId="18" fillId="0" borderId="18" xfId="0" applyNumberFormat="1" applyFont="1" applyBorder="1" applyAlignment="1">
      <alignment horizontal="right" vertical="center"/>
    </xf>
    <xf numFmtId="175" fontId="27" fillId="0" borderId="7" xfId="0" applyNumberFormat="1" applyFont="1" applyFill="1" applyBorder="1" applyAlignment="1">
      <alignment horizontal="center" vertical="center"/>
    </xf>
    <xf numFmtId="166" fontId="27" fillId="0" borderId="1" xfId="0" applyNumberFormat="1" applyFont="1" applyFill="1" applyBorder="1" applyAlignment="1">
      <alignment horizontal="center" vertical="center"/>
    </xf>
    <xf numFmtId="172" fontId="20" fillId="0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/>
    </xf>
    <xf numFmtId="166" fontId="27" fillId="0" borderId="1" xfId="1" applyNumberFormat="1" applyFont="1" applyFill="1" applyBorder="1" applyAlignment="1">
      <alignment horizontal="center" vertical="center"/>
    </xf>
    <xf numFmtId="166" fontId="20" fillId="2" borderId="1" xfId="0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horizontal="center" vertical="center"/>
    </xf>
    <xf numFmtId="175" fontId="27" fillId="0" borderId="1" xfId="0" applyNumberFormat="1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vertical="center"/>
    </xf>
    <xf numFmtId="173" fontId="20" fillId="0" borderId="1" xfId="0" applyNumberFormat="1" applyFont="1" applyFill="1" applyBorder="1" applyAlignment="1">
      <alignment vertical="center"/>
    </xf>
    <xf numFmtId="166" fontId="20" fillId="2" borderId="1" xfId="1" applyNumberFormat="1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vertical="center"/>
    </xf>
    <xf numFmtId="164" fontId="20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43" fontId="27" fillId="0" borderId="1" xfId="0" applyNumberFormat="1" applyFont="1" applyFill="1" applyBorder="1" applyAlignment="1">
      <alignment horizontal="center" vertical="center"/>
    </xf>
    <xf numFmtId="164" fontId="20" fillId="2" borderId="1" xfId="0" applyNumberFormat="1" applyFont="1" applyFill="1" applyBorder="1" applyAlignment="1">
      <alignment horizontal="center" vertical="center"/>
    </xf>
    <xf numFmtId="164" fontId="20" fillId="0" borderId="1" xfId="0" applyNumberFormat="1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horizontal="center" vertical="center"/>
    </xf>
    <xf numFmtId="43" fontId="20" fillId="0" borderId="1" xfId="1" applyNumberFormat="1" applyFont="1" applyFill="1" applyBorder="1" applyAlignment="1">
      <alignment vertical="center"/>
    </xf>
    <xf numFmtId="164" fontId="20" fillId="0" borderId="1" xfId="0" applyNumberFormat="1" applyFont="1" applyFill="1" applyBorder="1" applyAlignment="1">
      <alignment vertical="center"/>
    </xf>
    <xf numFmtId="164" fontId="20" fillId="4" borderId="1" xfId="0" applyNumberFormat="1" applyFont="1" applyFill="1" applyBorder="1" applyAlignment="1">
      <alignment horizontal="center" vertical="center"/>
    </xf>
    <xf numFmtId="166" fontId="27" fillId="4" borderId="1" xfId="1" applyNumberFormat="1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vertical="center"/>
    </xf>
    <xf numFmtId="43" fontId="20" fillId="2" borderId="1" xfId="1" applyNumberFormat="1" applyFont="1" applyFill="1" applyBorder="1" applyAlignment="1">
      <alignment vertical="center"/>
    </xf>
    <xf numFmtId="168" fontId="27" fillId="2" borderId="1" xfId="1" applyNumberFormat="1" applyFont="1" applyFill="1" applyBorder="1" applyAlignment="1">
      <alignment horizontal="center" vertical="center"/>
    </xf>
    <xf numFmtId="176" fontId="20" fillId="0" borderId="1" xfId="1" applyNumberFormat="1" applyFont="1" applyFill="1" applyBorder="1" applyAlignment="1">
      <alignment vertical="center"/>
    </xf>
    <xf numFmtId="178" fontId="27" fillId="0" borderId="1" xfId="0" applyNumberFormat="1" applyFont="1" applyFill="1" applyBorder="1" applyAlignment="1">
      <alignment horizontal="center" vertical="center"/>
    </xf>
    <xf numFmtId="168" fontId="20" fillId="0" borderId="1" xfId="1" applyNumberFormat="1" applyFont="1" applyFill="1" applyBorder="1" applyAlignment="1">
      <alignment vertical="center"/>
    </xf>
    <xf numFmtId="2" fontId="20" fillId="2" borderId="1" xfId="0" applyNumberFormat="1" applyFont="1" applyFill="1" applyBorder="1" applyAlignment="1">
      <alignment vertical="center"/>
    </xf>
    <xf numFmtId="43" fontId="20" fillId="4" borderId="1" xfId="1" applyNumberFormat="1" applyFont="1" applyFill="1" applyBorder="1" applyAlignment="1">
      <alignment vertical="center"/>
    </xf>
    <xf numFmtId="43" fontId="20" fillId="4" borderId="1" xfId="0" applyNumberFormat="1" applyFont="1" applyFill="1" applyBorder="1" applyAlignment="1">
      <alignment vertical="center"/>
    </xf>
    <xf numFmtId="43" fontId="27" fillId="0" borderId="1" xfId="1" applyNumberFormat="1" applyFont="1" applyFill="1" applyBorder="1" applyAlignment="1">
      <alignment horizontal="center" vertical="center"/>
    </xf>
    <xf numFmtId="164" fontId="20" fillId="0" borderId="24" xfId="0" applyNumberFormat="1" applyFont="1" applyBorder="1" applyAlignment="1">
      <alignment vertical="center"/>
    </xf>
    <xf numFmtId="164" fontId="20" fillId="0" borderId="25" xfId="0" applyNumberFormat="1" applyFont="1" applyBorder="1" applyAlignment="1">
      <alignment vertical="center"/>
    </xf>
    <xf numFmtId="43" fontId="20" fillId="2" borderId="1" xfId="0" applyNumberFormat="1" applyFont="1" applyFill="1" applyBorder="1" applyAlignment="1">
      <alignment vertical="center"/>
    </xf>
    <xf numFmtId="2" fontId="20" fillId="4" borderId="1" xfId="0" applyNumberFormat="1" applyFont="1" applyFill="1" applyBorder="1" applyAlignment="1">
      <alignment vertical="center"/>
    </xf>
    <xf numFmtId="175" fontId="27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66" fontId="4" fillId="0" borderId="0" xfId="1" applyNumberFormat="1" applyFont="1" applyFill="1" applyBorder="1" applyAlignment="1">
      <alignment vertical="center"/>
    </xf>
    <xf numFmtId="0" fontId="4" fillId="0" borderId="0" xfId="0" applyFont="1" applyFill="1" applyBorder="1"/>
    <xf numFmtId="4" fontId="4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>
      <alignment vertical="center"/>
    </xf>
    <xf numFmtId="165" fontId="4" fillId="0" borderId="0" xfId="1" applyNumberFormat="1" applyFont="1" applyFill="1" applyBorder="1" applyAlignment="1">
      <alignment vertical="center"/>
    </xf>
    <xf numFmtId="168" fontId="0" fillId="0" borderId="0" xfId="1" applyNumberFormat="1" applyFont="1" applyFill="1" applyBorder="1" applyAlignment="1">
      <alignment horizontal="center"/>
    </xf>
    <xf numFmtId="166" fontId="4" fillId="0" borderId="0" xfId="1" applyNumberFormat="1" applyFont="1" applyFill="1" applyBorder="1"/>
    <xf numFmtId="168" fontId="8" fillId="0" borderId="0" xfId="0" applyNumberFormat="1" applyFont="1" applyFill="1" applyBorder="1" applyAlignment="1">
      <alignment horizontal="center" vertical="center"/>
    </xf>
    <xf numFmtId="168" fontId="4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68" fontId="0" fillId="0" borderId="0" xfId="1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vertical="center"/>
    </xf>
    <xf numFmtId="169" fontId="8" fillId="0" borderId="0" xfId="0" applyNumberFormat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43" fontId="4" fillId="0" borderId="0" xfId="0" applyNumberFormat="1" applyFont="1" applyFill="1" applyBorder="1" applyAlignment="1">
      <alignment vertical="center"/>
    </xf>
    <xf numFmtId="166" fontId="3" fillId="0" borderId="0" xfId="1" applyNumberFormat="1" applyFont="1" applyFill="1" applyBorder="1" applyAlignment="1">
      <alignment vertical="center"/>
    </xf>
    <xf numFmtId="43" fontId="4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0" fontId="25" fillId="0" borderId="1" xfId="0" applyFont="1" applyFill="1" applyBorder="1"/>
    <xf numFmtId="0" fontId="25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/>
    </xf>
    <xf numFmtId="0" fontId="25" fillId="0" borderId="1" xfId="0" applyFont="1" applyBorder="1" applyAlignment="1">
      <alignment vertical="top" wrapText="1"/>
    </xf>
    <xf numFmtId="0" fontId="16" fillId="0" borderId="0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/>
    </xf>
    <xf numFmtId="0" fontId="16" fillId="0" borderId="1" xfId="0" applyFont="1" applyBorder="1" applyAlignment="1">
      <alignment vertical="center"/>
    </xf>
    <xf numFmtId="0" fontId="25" fillId="0" borderId="1" xfId="0" applyFont="1" applyFill="1" applyBorder="1" applyAlignment="1">
      <alignment horizontal="center" wrapText="1"/>
    </xf>
    <xf numFmtId="0" fontId="2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/>
    </xf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/>
    </xf>
    <xf numFmtId="4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/>
    <xf numFmtId="0" fontId="25" fillId="0" borderId="1" xfId="0" applyFont="1" applyFill="1" applyBorder="1" applyAlignment="1">
      <alignment wrapText="1"/>
    </xf>
    <xf numFmtId="0" fontId="25" fillId="0" borderId="1" xfId="0" applyFont="1" applyBorder="1" applyAlignment="1">
      <alignment horizontal="left" wrapText="1"/>
    </xf>
    <xf numFmtId="0" fontId="25" fillId="0" borderId="1" xfId="0" applyFont="1" applyFill="1" applyBorder="1" applyAlignment="1"/>
    <xf numFmtId="0" fontId="0" fillId="9" borderId="1" xfId="0" applyFill="1" applyBorder="1" applyAlignment="1">
      <alignment horizontal="center" wrapText="1"/>
    </xf>
    <xf numFmtId="0" fontId="4" fillId="9" borderId="1" xfId="0" applyFont="1" applyFill="1" applyBorder="1" applyAlignment="1">
      <alignment vertical="center"/>
    </xf>
    <xf numFmtId="0" fontId="25" fillId="0" borderId="7" xfId="0" applyFont="1" applyFill="1" applyBorder="1" applyAlignment="1">
      <alignment horizontal="center"/>
    </xf>
    <xf numFmtId="0" fontId="16" fillId="0" borderId="7" xfId="0" applyFont="1" applyBorder="1" applyAlignment="1">
      <alignment vertical="center"/>
    </xf>
    <xf numFmtId="0" fontId="25" fillId="0" borderId="7" xfId="0" applyFont="1" applyFill="1" applyBorder="1"/>
    <xf numFmtId="170" fontId="16" fillId="0" borderId="7" xfId="0" applyNumberFormat="1" applyFont="1" applyFill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center" vertical="center" wrapText="1"/>
    </xf>
    <xf numFmtId="170" fontId="32" fillId="0" borderId="1" xfId="0" applyNumberFormat="1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horizontal="right" vertical="center"/>
    </xf>
    <xf numFmtId="170" fontId="32" fillId="9" borderId="1" xfId="0" applyNumberFormat="1" applyFont="1" applyFill="1" applyBorder="1" applyAlignment="1">
      <alignment horizontal="center" vertical="center"/>
    </xf>
    <xf numFmtId="0" fontId="25" fillId="9" borderId="1" xfId="0" applyFont="1" applyFill="1" applyBorder="1" applyAlignment="1">
      <alignment horizontal="center"/>
    </xf>
    <xf numFmtId="0" fontId="25" fillId="9" borderId="1" xfId="0" applyFont="1" applyFill="1" applyBorder="1" applyAlignment="1">
      <alignment horizontal="center" wrapText="1"/>
    </xf>
    <xf numFmtId="0" fontId="16" fillId="9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6" fontId="3" fillId="2" borderId="1" xfId="1" applyNumberFormat="1" applyFont="1" applyFill="1" applyBorder="1" applyAlignment="1">
      <alignment vertical="center"/>
    </xf>
    <xf numFmtId="166" fontId="3" fillId="3" borderId="1" xfId="1" applyNumberFormat="1" applyFont="1" applyFill="1" applyBorder="1" applyAlignment="1">
      <alignment vertical="center"/>
    </xf>
    <xf numFmtId="166" fontId="20" fillId="0" borderId="1" xfId="0" applyNumberFormat="1" applyFont="1" applyBorder="1" applyAlignment="1">
      <alignment vertical="center"/>
    </xf>
    <xf numFmtId="175" fontId="20" fillId="0" borderId="1" xfId="0" applyNumberFormat="1" applyFont="1" applyBorder="1" applyAlignment="1">
      <alignment vertical="center"/>
    </xf>
    <xf numFmtId="168" fontId="20" fillId="0" borderId="1" xfId="0" applyNumberFormat="1" applyFont="1" applyBorder="1" applyAlignment="1">
      <alignment vertical="center"/>
    </xf>
    <xf numFmtId="10" fontId="20" fillId="0" borderId="0" xfId="2" applyNumberFormat="1" applyFont="1"/>
    <xf numFmtId="166" fontId="20" fillId="2" borderId="1" xfId="1" applyNumberFormat="1" applyFont="1" applyFill="1" applyBorder="1" applyAlignment="1">
      <alignment vertical="center"/>
    </xf>
    <xf numFmtId="166" fontId="20" fillId="2" borderId="1" xfId="0" applyNumberFormat="1" applyFont="1" applyFill="1" applyBorder="1" applyAlignment="1">
      <alignment horizontal="center" vertical="center"/>
    </xf>
    <xf numFmtId="168" fontId="20" fillId="2" borderId="1" xfId="1" applyNumberFormat="1" applyFont="1" applyFill="1" applyBorder="1" applyAlignment="1">
      <alignment vertical="center"/>
    </xf>
    <xf numFmtId="0" fontId="20" fillId="0" borderId="6" xfId="0" applyFont="1" applyBorder="1" applyAlignment="1">
      <alignment vertical="center"/>
    </xf>
    <xf numFmtId="0" fontId="27" fillId="2" borderId="6" xfId="0" applyFont="1" applyFill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7" fillId="0" borderId="47" xfId="0" applyFont="1" applyFill="1" applyBorder="1" applyAlignment="1">
      <alignment horizontal="center" vertical="center"/>
    </xf>
    <xf numFmtId="174" fontId="28" fillId="0" borderId="1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34" fillId="12" borderId="15" xfId="0" applyFont="1" applyFill="1" applyBorder="1" applyAlignment="1">
      <alignment horizontal="center" vertical="center"/>
    </xf>
    <xf numFmtId="0" fontId="34" fillId="12" borderId="15" xfId="0" applyFont="1" applyFill="1" applyBorder="1" applyAlignment="1">
      <alignment vertical="center"/>
    </xf>
    <xf numFmtId="0" fontId="18" fillId="13" borderId="1" xfId="0" applyFont="1" applyFill="1" applyBorder="1" applyAlignment="1">
      <alignment horizontal="center" vertical="center"/>
    </xf>
    <xf numFmtId="0" fontId="26" fillId="13" borderId="1" xfId="0" applyFont="1" applyFill="1" applyBorder="1" applyAlignment="1">
      <alignment vertical="center"/>
    </xf>
    <xf numFmtId="0" fontId="18" fillId="9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vertical="center"/>
    </xf>
    <xf numFmtId="165" fontId="20" fillId="0" borderId="48" xfId="1" applyNumberFormat="1" applyFont="1" applyFill="1" applyBorder="1" applyAlignment="1">
      <alignment vertical="center"/>
    </xf>
    <xf numFmtId="165" fontId="20" fillId="0" borderId="49" xfId="1" applyNumberFormat="1" applyFont="1" applyFill="1" applyBorder="1" applyAlignment="1">
      <alignment vertical="center"/>
    </xf>
    <xf numFmtId="165" fontId="20" fillId="11" borderId="49" xfId="1" applyNumberFormat="1" applyFont="1" applyFill="1" applyBorder="1" applyAlignment="1">
      <alignment vertical="center"/>
    </xf>
    <xf numFmtId="171" fontId="27" fillId="2" borderId="49" xfId="0" applyNumberFormat="1" applyFont="1" applyFill="1" applyBorder="1" applyAlignment="1">
      <alignment horizontal="center" vertical="center" wrapText="1"/>
    </xf>
    <xf numFmtId="171" fontId="27" fillId="0" borderId="49" xfId="0" applyNumberFormat="1" applyFont="1" applyFill="1" applyBorder="1" applyAlignment="1">
      <alignment horizontal="center" vertical="center" wrapText="1"/>
    </xf>
    <xf numFmtId="171" fontId="27" fillId="0" borderId="3" xfId="0" applyNumberFormat="1" applyFont="1" applyFill="1" applyBorder="1" applyAlignment="1">
      <alignment horizontal="center" vertical="center" wrapText="1"/>
    </xf>
    <xf numFmtId="171" fontId="27" fillId="0" borderId="16" xfId="0" applyNumberFormat="1" applyFont="1" applyFill="1" applyBorder="1" applyAlignment="1">
      <alignment horizontal="center" vertical="center"/>
    </xf>
    <xf numFmtId="171" fontId="27" fillId="0" borderId="25" xfId="0" applyNumberFormat="1" applyFont="1" applyFill="1" applyBorder="1" applyAlignment="1">
      <alignment horizontal="center" vertical="center"/>
    </xf>
    <xf numFmtId="171" fontId="27" fillId="7" borderId="25" xfId="0" applyNumberFormat="1" applyFont="1" applyFill="1" applyBorder="1" applyAlignment="1">
      <alignment horizontal="center" vertical="center"/>
    </xf>
    <xf numFmtId="171" fontId="27" fillId="0" borderId="46" xfId="0" applyNumberFormat="1" applyFont="1" applyFill="1" applyBorder="1" applyAlignment="1">
      <alignment horizontal="center" vertical="center"/>
    </xf>
    <xf numFmtId="0" fontId="34" fillId="12" borderId="16" xfId="0" applyFont="1" applyFill="1" applyBorder="1" applyAlignment="1">
      <alignment vertical="center"/>
    </xf>
    <xf numFmtId="0" fontId="26" fillId="13" borderId="25" xfId="0" applyFont="1" applyFill="1" applyBorder="1" applyAlignment="1">
      <alignment vertical="center"/>
    </xf>
    <xf numFmtId="0" fontId="26" fillId="9" borderId="25" xfId="0" applyFont="1" applyFill="1" applyBorder="1" applyAlignment="1">
      <alignment vertical="center"/>
    </xf>
    <xf numFmtId="0" fontId="13" fillId="0" borderId="36" xfId="0" applyFont="1" applyBorder="1" applyAlignment="1">
      <alignment horizontal="center"/>
    </xf>
    <xf numFmtId="2" fontId="20" fillId="0" borderId="1" xfId="1" applyNumberFormat="1" applyFont="1" applyFill="1" applyBorder="1" applyAlignment="1">
      <alignment horizontal="center" vertical="center"/>
    </xf>
    <xf numFmtId="2" fontId="27" fillId="0" borderId="1" xfId="0" applyNumberFormat="1" applyFont="1" applyFill="1" applyBorder="1" applyAlignment="1">
      <alignment horizontal="center" vertical="center"/>
    </xf>
    <xf numFmtId="2" fontId="20" fillId="0" borderId="6" xfId="1" applyNumberFormat="1" applyFont="1" applyFill="1" applyBorder="1" applyAlignment="1">
      <alignment horizontal="center" vertical="center"/>
    </xf>
    <xf numFmtId="2" fontId="27" fillId="0" borderId="6" xfId="0" applyNumberFormat="1" applyFont="1" applyFill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/>
    </xf>
    <xf numFmtId="0" fontId="27" fillId="0" borderId="12" xfId="0" applyFont="1" applyFill="1" applyBorder="1" applyAlignment="1">
      <alignment horizontal="center" vertical="center"/>
    </xf>
    <xf numFmtId="0" fontId="26" fillId="0" borderId="48" xfId="0" applyFont="1" applyFill="1" applyBorder="1" applyAlignment="1">
      <alignment vertical="center"/>
    </xf>
    <xf numFmtId="0" fontId="25" fillId="0" borderId="39" xfId="0" applyFont="1" applyFill="1" applyBorder="1" applyAlignment="1">
      <alignment vertical="center"/>
    </xf>
    <xf numFmtId="0" fontId="4" fillId="0" borderId="0" xfId="0" applyFont="1" applyBorder="1"/>
    <xf numFmtId="166" fontId="4" fillId="0" borderId="0" xfId="1" applyNumberFormat="1" applyFont="1" applyBorder="1"/>
    <xf numFmtId="2" fontId="18" fillId="0" borderId="15" xfId="1" applyNumberFormat="1" applyFont="1" applyFill="1" applyBorder="1" applyAlignment="1">
      <alignment horizontal="center" vertical="center"/>
    </xf>
    <xf numFmtId="0" fontId="18" fillId="2" borderId="17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vertical="center"/>
    </xf>
    <xf numFmtId="0" fontId="26" fillId="2" borderId="18" xfId="0" applyFont="1" applyFill="1" applyBorder="1" applyAlignment="1">
      <alignment vertical="center"/>
    </xf>
    <xf numFmtId="0" fontId="4" fillId="2" borderId="23" xfId="0" applyFont="1" applyFill="1" applyBorder="1"/>
    <xf numFmtId="166" fontId="4" fillId="2" borderId="23" xfId="1" applyNumberFormat="1" applyFont="1" applyFill="1" applyBorder="1"/>
    <xf numFmtId="2" fontId="21" fillId="2" borderId="17" xfId="0" applyNumberFormat="1" applyFont="1" applyFill="1" applyBorder="1" applyAlignment="1">
      <alignment horizontal="center"/>
    </xf>
    <xf numFmtId="0" fontId="34" fillId="0" borderId="1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7" fillId="0" borderId="47" xfId="0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vertical="center" wrapText="1"/>
    </xf>
    <xf numFmtId="0" fontId="27" fillId="0" borderId="6" xfId="0" applyFont="1" applyBorder="1" applyAlignment="1">
      <alignment horizontal="center" vertical="center"/>
    </xf>
    <xf numFmtId="0" fontId="27" fillId="4" borderId="12" xfId="0" applyFont="1" applyFill="1" applyBorder="1" applyAlignment="1">
      <alignment horizontal="center" vertical="center"/>
    </xf>
    <xf numFmtId="167" fontId="20" fillId="0" borderId="6" xfId="0" applyNumberFormat="1" applyFont="1" applyFill="1" applyBorder="1" applyAlignment="1">
      <alignment vertical="center"/>
    </xf>
    <xf numFmtId="165" fontId="20" fillId="0" borderId="3" xfId="1" applyNumberFormat="1" applyFont="1" applyFill="1" applyBorder="1" applyAlignment="1">
      <alignment vertical="center"/>
    </xf>
    <xf numFmtId="166" fontId="20" fillId="0" borderId="12" xfId="1" applyNumberFormat="1" applyFont="1" applyBorder="1" applyAlignment="1">
      <alignment vertical="center"/>
    </xf>
    <xf numFmtId="175" fontId="27" fillId="4" borderId="12" xfId="0" applyNumberFormat="1" applyFont="1" applyFill="1" applyBorder="1" applyAlignment="1">
      <alignment horizontal="center" vertical="center"/>
    </xf>
    <xf numFmtId="0" fontId="27" fillId="7" borderId="38" xfId="0" applyFont="1" applyFill="1" applyBorder="1" applyAlignment="1">
      <alignment horizontal="center" vertical="center"/>
    </xf>
    <xf numFmtId="0" fontId="27" fillId="7" borderId="15" xfId="0" applyFont="1" applyFill="1" applyBorder="1" applyAlignment="1">
      <alignment horizontal="center" vertical="center" wrapText="1"/>
    </xf>
    <xf numFmtId="0" fontId="20" fillId="7" borderId="15" xfId="0" applyFont="1" applyFill="1" applyBorder="1" applyAlignment="1">
      <alignment vertical="center"/>
    </xf>
    <xf numFmtId="165" fontId="20" fillId="7" borderId="15" xfId="1" applyNumberFormat="1" applyFont="1" applyFill="1" applyBorder="1" applyAlignment="1">
      <alignment vertical="center"/>
    </xf>
    <xf numFmtId="0" fontId="20" fillId="7" borderId="15" xfId="0" applyFont="1" applyFill="1" applyBorder="1" applyAlignment="1">
      <alignment horizontal="center" vertical="center"/>
    </xf>
    <xf numFmtId="0" fontId="20" fillId="11" borderId="15" xfId="0" applyFont="1" applyFill="1" applyBorder="1" applyAlignment="1">
      <alignment vertical="center"/>
    </xf>
    <xf numFmtId="171" fontId="27" fillId="7" borderId="16" xfId="0" applyNumberFormat="1" applyFont="1" applyFill="1" applyBorder="1" applyAlignment="1">
      <alignment horizontal="center" vertical="center"/>
    </xf>
    <xf numFmtId="165" fontId="20" fillId="11" borderId="48" xfId="1" applyNumberFormat="1" applyFont="1" applyFill="1" applyBorder="1" applyAlignment="1">
      <alignment vertical="center"/>
    </xf>
    <xf numFmtId="166" fontId="20" fillId="11" borderId="15" xfId="1" applyNumberFormat="1" applyFont="1" applyFill="1" applyBorder="1" applyAlignment="1">
      <alignment vertical="center"/>
    </xf>
    <xf numFmtId="166" fontId="20" fillId="7" borderId="15" xfId="1" applyNumberFormat="1" applyFont="1" applyFill="1" applyBorder="1" applyAlignment="1">
      <alignment vertical="center"/>
    </xf>
    <xf numFmtId="0" fontId="27" fillId="0" borderId="35" xfId="0" applyFont="1" applyFill="1" applyBorder="1" applyAlignment="1">
      <alignment horizontal="center" vertical="center"/>
    </xf>
    <xf numFmtId="0" fontId="27" fillId="0" borderId="36" xfId="0" applyFont="1" applyFill="1" applyBorder="1" applyAlignment="1">
      <alignment horizontal="center" vertical="center"/>
    </xf>
    <xf numFmtId="0" fontId="20" fillId="0" borderId="36" xfId="0" applyFont="1" applyBorder="1" applyAlignment="1">
      <alignment vertical="center"/>
    </xf>
    <xf numFmtId="0" fontId="27" fillId="0" borderId="36" xfId="0" applyFont="1" applyFill="1" applyBorder="1" applyAlignment="1">
      <alignment vertical="center"/>
    </xf>
    <xf numFmtId="174" fontId="20" fillId="0" borderId="36" xfId="0" applyNumberFormat="1" applyFont="1" applyBorder="1" applyAlignment="1">
      <alignment horizontal="center" vertical="center"/>
    </xf>
    <xf numFmtId="2" fontId="27" fillId="0" borderId="36" xfId="0" applyNumberFormat="1" applyFont="1" applyFill="1" applyBorder="1" applyAlignment="1">
      <alignment horizontal="center" vertical="center"/>
    </xf>
    <xf numFmtId="0" fontId="27" fillId="3" borderId="36" xfId="0" applyFont="1" applyFill="1" applyBorder="1" applyAlignment="1">
      <alignment horizontal="center" vertical="center"/>
    </xf>
    <xf numFmtId="0" fontId="20" fillId="0" borderId="36" xfId="0" applyFont="1" applyFill="1" applyBorder="1" applyAlignment="1">
      <alignment vertical="center"/>
    </xf>
    <xf numFmtId="171" fontId="27" fillId="0" borderId="36" xfId="0" applyNumberFormat="1" applyFont="1" applyFill="1" applyBorder="1" applyAlignment="1">
      <alignment horizontal="center" vertical="center"/>
    </xf>
    <xf numFmtId="171" fontId="27" fillId="0" borderId="36" xfId="0" applyNumberFormat="1" applyFont="1" applyFill="1" applyBorder="1" applyAlignment="1">
      <alignment horizontal="center" vertical="center" wrapText="1"/>
    </xf>
    <xf numFmtId="166" fontId="20" fillId="0" borderId="36" xfId="1" applyNumberFormat="1" applyFont="1" applyFill="1" applyBorder="1" applyAlignment="1">
      <alignment vertical="center"/>
    </xf>
    <xf numFmtId="0" fontId="20" fillId="0" borderId="36" xfId="0" applyFont="1" applyBorder="1" applyAlignment="1">
      <alignment horizontal="center" vertical="center"/>
    </xf>
    <xf numFmtId="2" fontId="20" fillId="0" borderId="36" xfId="1" applyNumberFormat="1" applyFont="1" applyFill="1" applyBorder="1" applyAlignment="1">
      <alignment horizontal="center" vertical="center"/>
    </xf>
    <xf numFmtId="0" fontId="35" fillId="0" borderId="0" xfId="0" applyFont="1"/>
    <xf numFmtId="0" fontId="38" fillId="0" borderId="0" xfId="0" applyFont="1" applyAlignment="1">
      <alignment horizontal="center" vertical="center"/>
    </xf>
    <xf numFmtId="0" fontId="38" fillId="0" borderId="0" xfId="0" applyFont="1"/>
    <xf numFmtId="0" fontId="39" fillId="0" borderId="0" xfId="0" applyFont="1" applyAlignment="1">
      <alignment horizontal="center" vertical="center"/>
    </xf>
    <xf numFmtId="171" fontId="41" fillId="0" borderId="1" xfId="0" applyNumberFormat="1" applyFont="1" applyBorder="1" applyAlignment="1">
      <alignment horizontal="center" vertical="center"/>
    </xf>
    <xf numFmtId="171" fontId="41" fillId="0" borderId="15" xfId="0" applyNumberFormat="1" applyFont="1" applyBorder="1" applyAlignment="1">
      <alignment horizontal="center" vertical="center"/>
    </xf>
    <xf numFmtId="2" fontId="41" fillId="0" borderId="1" xfId="0" applyNumberFormat="1" applyFont="1" applyFill="1" applyBorder="1" applyAlignment="1">
      <alignment horizontal="center" vertical="center"/>
    </xf>
    <xf numFmtId="2" fontId="41" fillId="3" borderId="1" xfId="1" applyNumberFormat="1" applyFont="1" applyFill="1" applyBorder="1" applyAlignment="1">
      <alignment horizontal="center" vertical="center"/>
    </xf>
    <xf numFmtId="2" fontId="41" fillId="8" borderId="1" xfId="0" applyNumberFormat="1" applyFont="1" applyFill="1" applyBorder="1" applyAlignment="1">
      <alignment horizontal="center" vertical="center"/>
    </xf>
    <xf numFmtId="2" fontId="41" fillId="0" borderId="1" xfId="0" applyNumberFormat="1" applyFont="1" applyBorder="1" applyAlignment="1">
      <alignment horizontal="center" vertical="center"/>
    </xf>
    <xf numFmtId="2" fontId="41" fillId="0" borderId="7" xfId="0" applyNumberFormat="1" applyFont="1" applyFill="1" applyBorder="1" applyAlignment="1">
      <alignment horizontal="center" vertical="center"/>
    </xf>
    <xf numFmtId="2" fontId="40" fillId="14" borderId="17" xfId="0" applyNumberFormat="1" applyFont="1" applyFill="1" applyBorder="1" applyAlignment="1">
      <alignment horizontal="center" vertical="center"/>
    </xf>
    <xf numFmtId="2" fontId="41" fillId="0" borderId="15" xfId="0" applyNumberFormat="1" applyFont="1" applyBorder="1" applyAlignment="1">
      <alignment horizontal="center" vertical="center"/>
    </xf>
    <xf numFmtId="2" fontId="41" fillId="0" borderId="7" xfId="0" applyNumberFormat="1" applyFont="1" applyBorder="1" applyAlignment="1">
      <alignment horizontal="center" vertical="center"/>
    </xf>
    <xf numFmtId="2" fontId="40" fillId="14" borderId="6" xfId="0" applyNumberFormat="1" applyFont="1" applyFill="1" applyBorder="1" applyAlignment="1">
      <alignment horizontal="center" vertical="center"/>
    </xf>
    <xf numFmtId="2" fontId="40" fillId="16" borderId="1" xfId="0" applyNumberFormat="1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 wrapText="1"/>
    </xf>
    <xf numFmtId="0" fontId="41" fillId="0" borderId="7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center" vertical="center" wrapText="1"/>
    </xf>
    <xf numFmtId="10" fontId="41" fillId="3" borderId="1" xfId="0" applyNumberFormat="1" applyFont="1" applyFill="1" applyBorder="1" applyAlignment="1">
      <alignment horizontal="center" vertical="center"/>
    </xf>
    <xf numFmtId="0" fontId="40" fillId="17" borderId="1" xfId="0" applyFont="1" applyFill="1" applyBorder="1" applyAlignment="1">
      <alignment horizontal="center" vertical="center" wrapText="1"/>
    </xf>
    <xf numFmtId="2" fontId="41" fillId="17" borderId="1" xfId="0" applyNumberFormat="1" applyFont="1" applyFill="1" applyBorder="1" applyAlignment="1">
      <alignment horizontal="center" vertical="center"/>
    </xf>
    <xf numFmtId="10" fontId="41" fillId="17" borderId="1" xfId="0" applyNumberFormat="1" applyFont="1" applyFill="1" applyBorder="1" applyAlignment="1">
      <alignment horizontal="center" vertical="center"/>
    </xf>
    <xf numFmtId="2" fontId="41" fillId="17" borderId="6" xfId="0" applyNumberFormat="1" applyFont="1" applyFill="1" applyBorder="1" applyAlignment="1">
      <alignment horizontal="center" vertical="center"/>
    </xf>
    <xf numFmtId="0" fontId="40" fillId="18" borderId="1" xfId="0" applyFont="1" applyFill="1" applyBorder="1" applyAlignment="1">
      <alignment horizontal="center" vertical="center" wrapText="1"/>
    </xf>
    <xf numFmtId="2" fontId="41" fillId="18" borderId="1" xfId="0" applyNumberFormat="1" applyFont="1" applyFill="1" applyBorder="1" applyAlignment="1">
      <alignment horizontal="center" vertical="center"/>
    </xf>
    <xf numFmtId="10" fontId="41" fillId="18" borderId="1" xfId="0" applyNumberFormat="1" applyFont="1" applyFill="1" applyBorder="1" applyAlignment="1">
      <alignment horizontal="center" vertical="center"/>
    </xf>
    <xf numFmtId="0" fontId="40" fillId="8" borderId="1" xfId="0" applyFont="1" applyFill="1" applyBorder="1" applyAlignment="1">
      <alignment horizontal="center" vertical="center" wrapText="1"/>
    </xf>
    <xf numFmtId="171" fontId="41" fillId="3" borderId="1" xfId="0" applyNumberFormat="1" applyFont="1" applyFill="1" applyBorder="1" applyAlignment="1">
      <alignment horizontal="center" vertical="center"/>
    </xf>
    <xf numFmtId="10" fontId="40" fillId="3" borderId="1" xfId="0" applyNumberFormat="1" applyFont="1" applyFill="1" applyBorder="1" applyAlignment="1">
      <alignment horizontal="center" vertical="center"/>
    </xf>
    <xf numFmtId="2" fontId="40" fillId="3" borderId="1" xfId="0" applyNumberFormat="1" applyFont="1" applyFill="1" applyBorder="1" applyAlignment="1">
      <alignment horizontal="center" vertical="center"/>
    </xf>
    <xf numFmtId="10" fontId="41" fillId="3" borderId="7" xfId="0" applyNumberFormat="1" applyFont="1" applyFill="1" applyBorder="1" applyAlignment="1">
      <alignment horizontal="center" vertical="center"/>
    </xf>
    <xf numFmtId="10" fontId="40" fillId="17" borderId="1" xfId="0" applyNumberFormat="1" applyFont="1" applyFill="1" applyBorder="1" applyAlignment="1">
      <alignment horizontal="center" vertical="center"/>
    </xf>
    <xf numFmtId="2" fontId="40" fillId="17" borderId="1" xfId="0" applyNumberFormat="1" applyFont="1" applyFill="1" applyBorder="1" applyAlignment="1">
      <alignment horizontal="center" vertical="center"/>
    </xf>
    <xf numFmtId="10" fontId="41" fillId="17" borderId="7" xfId="0" applyNumberFormat="1" applyFont="1" applyFill="1" applyBorder="1" applyAlignment="1">
      <alignment horizontal="center" vertical="center"/>
    </xf>
    <xf numFmtId="10" fontId="40" fillId="18" borderId="1" xfId="0" applyNumberFormat="1" applyFont="1" applyFill="1" applyBorder="1" applyAlignment="1">
      <alignment horizontal="center" vertical="center"/>
    </xf>
    <xf numFmtId="2" fontId="40" fillId="18" borderId="1" xfId="0" applyNumberFormat="1" applyFont="1" applyFill="1" applyBorder="1" applyAlignment="1">
      <alignment horizontal="center" vertical="center"/>
    </xf>
    <xf numFmtId="2" fontId="41" fillId="18" borderId="1" xfId="1" applyNumberFormat="1" applyFont="1" applyFill="1" applyBorder="1" applyAlignment="1">
      <alignment horizontal="center" vertical="center"/>
    </xf>
    <xf numFmtId="2" fontId="41" fillId="18" borderId="1" xfId="0" applyNumberFormat="1" applyFont="1" applyFill="1" applyBorder="1" applyAlignment="1">
      <alignment horizontal="center"/>
    </xf>
    <xf numFmtId="10" fontId="41" fillId="18" borderId="1" xfId="0" applyNumberFormat="1" applyFont="1" applyFill="1" applyBorder="1" applyAlignment="1">
      <alignment horizontal="center"/>
    </xf>
    <xf numFmtId="2" fontId="40" fillId="18" borderId="17" xfId="0" applyNumberFormat="1" applyFont="1" applyFill="1" applyBorder="1" applyAlignment="1">
      <alignment horizontal="center" vertical="center"/>
    </xf>
    <xf numFmtId="10" fontId="40" fillId="18" borderId="17" xfId="0" applyNumberFormat="1" applyFont="1" applyFill="1" applyBorder="1" applyAlignment="1">
      <alignment horizontal="center" vertical="center"/>
    </xf>
    <xf numFmtId="2" fontId="41" fillId="18" borderId="15" xfId="0" applyNumberFormat="1" applyFont="1" applyFill="1" applyBorder="1" applyAlignment="1">
      <alignment horizontal="center"/>
    </xf>
    <xf numFmtId="10" fontId="41" fillId="18" borderId="15" xfId="0" applyNumberFormat="1" applyFont="1" applyFill="1" applyBorder="1" applyAlignment="1">
      <alignment horizontal="center"/>
    </xf>
    <xf numFmtId="2" fontId="41" fillId="18" borderId="7" xfId="0" applyNumberFormat="1" applyFont="1" applyFill="1" applyBorder="1" applyAlignment="1">
      <alignment horizontal="center"/>
    </xf>
    <xf numFmtId="10" fontId="41" fillId="18" borderId="7" xfId="0" applyNumberFormat="1" applyFont="1" applyFill="1" applyBorder="1" applyAlignment="1">
      <alignment horizontal="center"/>
    </xf>
    <xf numFmtId="171" fontId="41" fillId="18" borderId="15" xfId="0" applyNumberFormat="1" applyFont="1" applyFill="1" applyBorder="1" applyAlignment="1">
      <alignment horizontal="center"/>
    </xf>
    <xf numFmtId="171" fontId="41" fillId="18" borderId="1" xfId="0" applyNumberFormat="1" applyFont="1" applyFill="1" applyBorder="1" applyAlignment="1">
      <alignment horizontal="center"/>
    </xf>
    <xf numFmtId="2" fontId="41" fillId="18" borderId="15" xfId="0" applyNumberFormat="1" applyFont="1" applyFill="1" applyBorder="1" applyAlignment="1">
      <alignment horizontal="center" vertical="center"/>
    </xf>
    <xf numFmtId="10" fontId="41" fillId="18" borderId="15" xfId="0" applyNumberFormat="1" applyFont="1" applyFill="1" applyBorder="1" applyAlignment="1">
      <alignment horizontal="center" vertical="center"/>
    </xf>
    <xf numFmtId="2" fontId="40" fillId="18" borderId="6" xfId="0" applyNumberFormat="1" applyFont="1" applyFill="1" applyBorder="1" applyAlignment="1">
      <alignment horizontal="center" vertical="center"/>
    </xf>
    <xf numFmtId="10" fontId="40" fillId="18" borderId="6" xfId="0" applyNumberFormat="1" applyFont="1" applyFill="1" applyBorder="1" applyAlignment="1">
      <alignment horizontal="center" vertical="center"/>
    </xf>
    <xf numFmtId="2" fontId="40" fillId="8" borderId="1" xfId="0" applyNumberFormat="1" applyFont="1" applyFill="1" applyBorder="1" applyAlignment="1">
      <alignment horizontal="center" vertical="center"/>
    </xf>
    <xf numFmtId="4" fontId="41" fillId="8" borderId="1" xfId="0" applyNumberFormat="1" applyFont="1" applyFill="1" applyBorder="1" applyAlignment="1">
      <alignment horizontal="center" vertical="center"/>
    </xf>
    <xf numFmtId="2" fontId="40" fillId="8" borderId="17" xfId="0" applyNumberFormat="1" applyFont="1" applyFill="1" applyBorder="1" applyAlignment="1">
      <alignment horizontal="center" vertical="center"/>
    </xf>
    <xf numFmtId="2" fontId="41" fillId="8" borderId="15" xfId="0" applyNumberFormat="1" applyFont="1" applyFill="1" applyBorder="1" applyAlignment="1">
      <alignment horizontal="center" vertical="center"/>
    </xf>
    <xf numFmtId="2" fontId="41" fillId="8" borderId="7" xfId="0" applyNumberFormat="1" applyFont="1" applyFill="1" applyBorder="1" applyAlignment="1">
      <alignment horizontal="center" vertical="center"/>
    </xf>
    <xf numFmtId="2" fontId="40" fillId="8" borderId="6" xfId="0" applyNumberFormat="1" applyFont="1" applyFill="1" applyBorder="1" applyAlignment="1">
      <alignment horizontal="center" vertical="center"/>
    </xf>
    <xf numFmtId="2" fontId="40" fillId="17" borderId="17" xfId="0" applyNumberFormat="1" applyFont="1" applyFill="1" applyBorder="1" applyAlignment="1">
      <alignment horizontal="center" vertical="center"/>
    </xf>
    <xf numFmtId="10" fontId="40" fillId="17" borderId="17" xfId="0" applyNumberFormat="1" applyFont="1" applyFill="1" applyBorder="1" applyAlignment="1">
      <alignment horizontal="center" vertical="center"/>
    </xf>
    <xf numFmtId="2" fontId="41" fillId="17" borderId="15" xfId="0" applyNumberFormat="1" applyFont="1" applyFill="1" applyBorder="1" applyAlignment="1">
      <alignment horizontal="center" vertical="center"/>
    </xf>
    <xf numFmtId="10" fontId="41" fillId="17" borderId="15" xfId="0" applyNumberFormat="1" applyFont="1" applyFill="1" applyBorder="1" applyAlignment="1">
      <alignment horizontal="center" vertical="center"/>
    </xf>
    <xf numFmtId="2" fontId="41" fillId="17" borderId="7" xfId="0" applyNumberFormat="1" applyFont="1" applyFill="1" applyBorder="1" applyAlignment="1">
      <alignment horizontal="center" vertical="center"/>
    </xf>
    <xf numFmtId="2" fontId="40" fillId="17" borderId="6" xfId="0" applyNumberFormat="1" applyFont="1" applyFill="1" applyBorder="1" applyAlignment="1">
      <alignment horizontal="center" vertical="center"/>
    </xf>
    <xf numFmtId="10" fontId="40" fillId="17" borderId="6" xfId="0" applyNumberFormat="1" applyFont="1" applyFill="1" applyBorder="1" applyAlignment="1">
      <alignment horizontal="center" vertical="center"/>
    </xf>
    <xf numFmtId="2" fontId="40" fillId="3" borderId="17" xfId="0" applyNumberFormat="1" applyFont="1" applyFill="1" applyBorder="1" applyAlignment="1">
      <alignment horizontal="center" vertical="center"/>
    </xf>
    <xf numFmtId="10" fontId="40" fillId="3" borderId="17" xfId="0" applyNumberFormat="1" applyFont="1" applyFill="1" applyBorder="1" applyAlignment="1">
      <alignment horizontal="center" vertical="center"/>
    </xf>
    <xf numFmtId="2" fontId="41" fillId="3" borderId="15" xfId="0" applyNumberFormat="1" applyFont="1" applyFill="1" applyBorder="1" applyAlignment="1">
      <alignment horizontal="center" vertical="center"/>
    </xf>
    <xf numFmtId="10" fontId="41" fillId="3" borderId="15" xfId="0" applyNumberFormat="1" applyFont="1" applyFill="1" applyBorder="1" applyAlignment="1">
      <alignment horizontal="center" vertical="center"/>
    </xf>
    <xf numFmtId="2" fontId="41" fillId="3" borderId="7" xfId="0" applyNumberFormat="1" applyFont="1" applyFill="1" applyBorder="1" applyAlignment="1">
      <alignment horizontal="center" vertical="center"/>
    </xf>
    <xf numFmtId="2" fontId="41" fillId="3" borderId="1" xfId="0" applyNumberFormat="1" applyFont="1" applyFill="1" applyBorder="1" applyAlignment="1">
      <alignment horizontal="center" vertical="center"/>
    </xf>
    <xf numFmtId="171" fontId="41" fillId="3" borderId="15" xfId="0" applyNumberFormat="1" applyFont="1" applyFill="1" applyBorder="1" applyAlignment="1">
      <alignment horizontal="center" vertical="center"/>
    </xf>
    <xf numFmtId="2" fontId="40" fillId="3" borderId="6" xfId="0" applyNumberFormat="1" applyFont="1" applyFill="1" applyBorder="1" applyAlignment="1">
      <alignment horizontal="center" vertical="center"/>
    </xf>
    <xf numFmtId="10" fontId="40" fillId="3" borderId="6" xfId="0" applyNumberFormat="1" applyFont="1" applyFill="1" applyBorder="1" applyAlignment="1">
      <alignment horizontal="center" vertical="center"/>
    </xf>
    <xf numFmtId="0" fontId="38" fillId="6" borderId="0" xfId="0" applyFont="1" applyFill="1"/>
    <xf numFmtId="0" fontId="0" fillId="6" borderId="0" xfId="0" applyFill="1"/>
    <xf numFmtId="2" fontId="41" fillId="3" borderId="7" xfId="1" applyNumberFormat="1" applyFont="1" applyFill="1" applyBorder="1" applyAlignment="1">
      <alignment horizontal="center" vertical="center"/>
    </xf>
    <xf numFmtId="4" fontId="40" fillId="3" borderId="17" xfId="0" applyNumberFormat="1" applyFont="1" applyFill="1" applyBorder="1" applyAlignment="1">
      <alignment horizontal="center" vertical="center"/>
    </xf>
    <xf numFmtId="4" fontId="40" fillId="17" borderId="17" xfId="0" applyNumberFormat="1" applyFont="1" applyFill="1" applyBorder="1" applyAlignment="1">
      <alignment horizontal="center" vertical="center"/>
    </xf>
    <xf numFmtId="4" fontId="40" fillId="18" borderId="17" xfId="0" applyNumberFormat="1" applyFont="1" applyFill="1" applyBorder="1" applyAlignment="1">
      <alignment horizontal="center" vertical="center"/>
    </xf>
    <xf numFmtId="4" fontId="40" fillId="8" borderId="17" xfId="0" applyNumberFormat="1" applyFont="1" applyFill="1" applyBorder="1" applyAlignment="1">
      <alignment horizontal="center" vertical="center"/>
    </xf>
    <xf numFmtId="0" fontId="40" fillId="4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4" borderId="6" xfId="0" applyFont="1" applyFill="1" applyBorder="1" applyAlignment="1">
      <alignment horizontal="center" vertical="center"/>
    </xf>
    <xf numFmtId="0" fontId="41" fillId="3" borderId="6" xfId="0" applyFont="1" applyFill="1" applyBorder="1" applyAlignment="1">
      <alignment horizontal="center" vertical="center"/>
    </xf>
    <xf numFmtId="0" fontId="41" fillId="2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41" fillId="4" borderId="1" xfId="0" applyFont="1" applyFill="1" applyBorder="1" applyAlignment="1">
      <alignment horizontal="center" vertical="center"/>
    </xf>
    <xf numFmtId="0" fontId="41" fillId="2" borderId="6" xfId="0" applyFont="1" applyFill="1" applyBorder="1" applyAlignment="1">
      <alignment horizontal="center" vertical="center"/>
    </xf>
    <xf numFmtId="0" fontId="41" fillId="3" borderId="36" xfId="0" applyFont="1" applyFill="1" applyBorder="1" applyAlignment="1">
      <alignment horizontal="center" vertical="center"/>
    </xf>
    <xf numFmtId="0" fontId="40" fillId="14" borderId="1" xfId="0" applyFont="1" applyFill="1" applyBorder="1" applyAlignment="1">
      <alignment horizontal="center" vertical="center" wrapText="1"/>
    </xf>
    <xf numFmtId="0" fontId="40" fillId="14" borderId="1" xfId="0" applyFont="1" applyFill="1" applyBorder="1" applyAlignment="1">
      <alignment horizontal="center" vertical="center" wrapText="1"/>
    </xf>
    <xf numFmtId="175" fontId="27" fillId="4" borderId="39" xfId="0" applyNumberFormat="1" applyFont="1" applyFill="1" applyBorder="1" applyAlignment="1">
      <alignment horizontal="center" vertical="center"/>
    </xf>
    <xf numFmtId="175" fontId="27" fillId="4" borderId="4" xfId="0" applyNumberFormat="1" applyFont="1" applyFill="1" applyBorder="1" applyAlignment="1">
      <alignment horizontal="center" vertical="center"/>
    </xf>
    <xf numFmtId="165" fontId="20" fillId="7" borderId="24" xfId="1" applyNumberFormat="1" applyFont="1" applyFill="1" applyBorder="1" applyAlignment="1">
      <alignment vertical="center"/>
    </xf>
    <xf numFmtId="2" fontId="27" fillId="0" borderId="24" xfId="0" applyNumberFormat="1" applyFont="1" applyFill="1" applyBorder="1" applyAlignment="1">
      <alignment horizontal="center" vertical="center"/>
    </xf>
    <xf numFmtId="2" fontId="27" fillId="0" borderId="37" xfId="0" applyNumberFormat="1" applyFont="1" applyFill="1" applyBorder="1" applyAlignment="1">
      <alignment horizontal="center" vertical="center"/>
    </xf>
    <xf numFmtId="2" fontId="18" fillId="0" borderId="39" xfId="1" applyNumberFormat="1" applyFont="1" applyFill="1" applyBorder="1" applyAlignment="1">
      <alignment horizontal="center" vertical="center"/>
    </xf>
    <xf numFmtId="2" fontId="21" fillId="0" borderId="24" xfId="0" applyNumberFormat="1" applyFont="1" applyBorder="1" applyAlignment="1">
      <alignment horizontal="center"/>
    </xf>
    <xf numFmtId="2" fontId="21" fillId="2" borderId="41" xfId="0" applyNumberFormat="1" applyFont="1" applyFill="1" applyBorder="1" applyAlignment="1">
      <alignment horizontal="center"/>
    </xf>
    <xf numFmtId="0" fontId="46" fillId="0" borderId="0" xfId="0" applyFont="1" applyAlignment="1">
      <alignment vertical="center"/>
    </xf>
    <xf numFmtId="0" fontId="4" fillId="0" borderId="61" xfId="0" applyFont="1" applyBorder="1"/>
    <xf numFmtId="175" fontId="27" fillId="4" borderId="8" xfId="0" applyNumberFormat="1" applyFont="1" applyFill="1" applyBorder="1" applyAlignment="1">
      <alignment horizontal="center" vertical="center"/>
    </xf>
    <xf numFmtId="165" fontId="20" fillId="7" borderId="39" xfId="1" applyNumberFormat="1" applyFont="1" applyFill="1" applyBorder="1" applyAlignment="1">
      <alignment vertical="center"/>
    </xf>
    <xf numFmtId="0" fontId="20" fillId="0" borderId="0" xfId="0" applyFont="1"/>
    <xf numFmtId="0" fontId="20" fillId="15" borderId="61" xfId="0" applyFont="1" applyFill="1" applyBorder="1"/>
    <xf numFmtId="2" fontId="44" fillId="15" borderId="61" xfId="0" applyNumberFormat="1" applyFont="1" applyFill="1" applyBorder="1" applyAlignment="1">
      <alignment horizontal="center" vertical="center"/>
    </xf>
    <xf numFmtId="2" fontId="36" fillId="15" borderId="60" xfId="0" applyNumberFormat="1" applyFont="1" applyFill="1" applyBorder="1" applyAlignment="1">
      <alignment horizontal="center" vertical="center"/>
    </xf>
    <xf numFmtId="2" fontId="44" fillId="15" borderId="65" xfId="0" applyNumberFormat="1" applyFont="1" applyFill="1" applyBorder="1" applyAlignment="1">
      <alignment horizontal="center" vertical="center"/>
    </xf>
    <xf numFmtId="2" fontId="44" fillId="15" borderId="64" xfId="0" applyNumberFormat="1" applyFont="1" applyFill="1" applyBorder="1" applyAlignment="1">
      <alignment horizontal="center" vertical="center"/>
    </xf>
    <xf numFmtId="0" fontId="45" fillId="15" borderId="61" xfId="0" applyFont="1" applyFill="1" applyBorder="1" applyAlignment="1">
      <alignment horizontal="center" vertical="center"/>
    </xf>
    <xf numFmtId="2" fontId="45" fillId="15" borderId="61" xfId="0" applyNumberFormat="1" applyFont="1" applyFill="1" applyBorder="1" applyAlignment="1">
      <alignment horizontal="center" vertical="center"/>
    </xf>
    <xf numFmtId="2" fontId="48" fillId="15" borderId="60" xfId="0" applyNumberFormat="1" applyFont="1" applyFill="1" applyBorder="1" applyAlignment="1">
      <alignment horizontal="center" vertical="center"/>
    </xf>
    <xf numFmtId="0" fontId="4" fillId="0" borderId="65" xfId="0" applyFont="1" applyBorder="1"/>
    <xf numFmtId="0" fontId="4" fillId="7" borderId="64" xfId="0" applyFont="1" applyFill="1" applyBorder="1"/>
    <xf numFmtId="0" fontId="45" fillId="15" borderId="65" xfId="0" applyFont="1" applyFill="1" applyBorder="1" applyAlignment="1">
      <alignment horizontal="center" vertical="center"/>
    </xf>
    <xf numFmtId="0" fontId="45" fillId="7" borderId="64" xfId="0" applyFont="1" applyFill="1" applyBorder="1" applyAlignment="1">
      <alignment horizontal="center" vertical="center"/>
    </xf>
    <xf numFmtId="2" fontId="45" fillId="15" borderId="65" xfId="0" applyNumberFormat="1" applyFont="1" applyFill="1" applyBorder="1" applyAlignment="1">
      <alignment horizontal="center" vertical="center"/>
    </xf>
    <xf numFmtId="2" fontId="45" fillId="15" borderId="64" xfId="0" applyNumberFormat="1" applyFont="1" applyFill="1" applyBorder="1" applyAlignment="1">
      <alignment horizontal="center" vertical="center"/>
    </xf>
    <xf numFmtId="0" fontId="20" fillId="15" borderId="65" xfId="0" applyFont="1" applyFill="1" applyBorder="1"/>
    <xf numFmtId="0" fontId="20" fillId="7" borderId="64" xfId="0" applyFont="1" applyFill="1" applyBorder="1"/>
    <xf numFmtId="2" fontId="47" fillId="15" borderId="60" xfId="0" applyNumberFormat="1" applyFont="1" applyFill="1" applyBorder="1" applyAlignment="1">
      <alignment horizontal="center" vertical="center"/>
    </xf>
    <xf numFmtId="0" fontId="42" fillId="15" borderId="67" xfId="0" applyFont="1" applyFill="1" applyBorder="1" applyAlignment="1">
      <alignment vertical="center" textRotation="90"/>
    </xf>
    <xf numFmtId="0" fontId="42" fillId="7" borderId="64" xfId="0" applyFont="1" applyFill="1" applyBorder="1" applyAlignment="1">
      <alignment vertical="center" textRotation="90"/>
    </xf>
    <xf numFmtId="2" fontId="48" fillId="15" borderId="61" xfId="0" applyNumberFormat="1" applyFont="1" applyFill="1" applyBorder="1" applyAlignment="1">
      <alignment horizontal="center" vertical="center"/>
    </xf>
    <xf numFmtId="2" fontId="48" fillId="15" borderId="65" xfId="0" applyNumberFormat="1" applyFont="1" applyFill="1" applyBorder="1" applyAlignment="1">
      <alignment horizontal="center" vertical="center"/>
    </xf>
    <xf numFmtId="2" fontId="48" fillId="15" borderId="64" xfId="0" applyNumberFormat="1" applyFont="1" applyFill="1" applyBorder="1" applyAlignment="1">
      <alignment horizontal="center" vertical="center"/>
    </xf>
    <xf numFmtId="2" fontId="47" fillId="15" borderId="61" xfId="0" applyNumberFormat="1" applyFont="1" applyFill="1" applyBorder="1" applyAlignment="1">
      <alignment horizontal="center" vertical="center"/>
    </xf>
    <xf numFmtId="2" fontId="47" fillId="15" borderId="64" xfId="0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vertical="center"/>
    </xf>
    <xf numFmtId="0" fontId="41" fillId="0" borderId="47" xfId="0" applyFont="1" applyBorder="1" applyAlignment="1">
      <alignment vertical="center" wrapText="1"/>
    </xf>
    <xf numFmtId="0" fontId="41" fillId="0" borderId="14" xfId="0" applyFont="1" applyFill="1" applyBorder="1" applyAlignment="1">
      <alignment vertical="center" wrapText="1"/>
    </xf>
    <xf numFmtId="0" fontId="41" fillId="0" borderId="47" xfId="0" applyFont="1" applyFill="1" applyBorder="1" applyAlignment="1">
      <alignment vertical="center" wrapText="1"/>
    </xf>
    <xf numFmtId="0" fontId="41" fillId="0" borderId="14" xfId="0" applyFont="1" applyBorder="1"/>
    <xf numFmtId="0" fontId="41" fillId="0" borderId="13" xfId="0" applyFont="1" applyFill="1" applyBorder="1" applyAlignment="1">
      <alignment vertical="center" wrapText="1"/>
    </xf>
    <xf numFmtId="0" fontId="41" fillId="0" borderId="14" xfId="0" applyFont="1" applyBorder="1" applyAlignment="1">
      <alignment vertical="center" wrapText="1"/>
    </xf>
    <xf numFmtId="0" fontId="41" fillId="0" borderId="14" xfId="0" applyFont="1" applyFill="1" applyBorder="1" applyAlignment="1">
      <alignment vertical="center"/>
    </xf>
    <xf numFmtId="0" fontId="40" fillId="8" borderId="24" xfId="0" applyFont="1" applyFill="1" applyBorder="1" applyAlignment="1">
      <alignment horizontal="center" vertical="center" wrapText="1"/>
    </xf>
    <xf numFmtId="10" fontId="41" fillId="8" borderId="24" xfId="0" applyNumberFormat="1" applyFont="1" applyFill="1" applyBorder="1" applyAlignment="1">
      <alignment horizontal="center" vertical="center"/>
    </xf>
    <xf numFmtId="10" fontId="40" fillId="8" borderId="24" xfId="0" applyNumberFormat="1" applyFont="1" applyFill="1" applyBorder="1" applyAlignment="1">
      <alignment horizontal="center" vertical="center"/>
    </xf>
    <xf numFmtId="10" fontId="40" fillId="8" borderId="2" xfId="0" applyNumberFormat="1" applyFont="1" applyFill="1" applyBorder="1" applyAlignment="1">
      <alignment horizontal="center" vertical="center"/>
    </xf>
    <xf numFmtId="10" fontId="41" fillId="8" borderId="39" xfId="0" applyNumberFormat="1" applyFont="1" applyFill="1" applyBorder="1" applyAlignment="1">
      <alignment horizontal="center" vertical="center"/>
    </xf>
    <xf numFmtId="10" fontId="40" fillId="8" borderId="41" xfId="0" applyNumberFormat="1" applyFont="1" applyFill="1" applyBorder="1" applyAlignment="1">
      <alignment horizontal="center" vertical="center"/>
    </xf>
    <xf numFmtId="10" fontId="41" fillId="8" borderId="4" xfId="0" applyNumberFormat="1" applyFont="1" applyFill="1" applyBorder="1" applyAlignment="1">
      <alignment horizontal="center" vertical="center"/>
    </xf>
    <xf numFmtId="0" fontId="41" fillId="0" borderId="38" xfId="0" applyFont="1" applyBorder="1" applyAlignment="1">
      <alignment vertical="center"/>
    </xf>
    <xf numFmtId="0" fontId="41" fillId="0" borderId="47" xfId="0" applyFont="1" applyBorder="1" applyAlignment="1">
      <alignment vertical="center"/>
    </xf>
    <xf numFmtId="0" fontId="41" fillId="0" borderId="47" xfId="0" applyFont="1" applyFill="1" applyBorder="1" applyAlignment="1">
      <alignment vertical="center"/>
    </xf>
    <xf numFmtId="10" fontId="40" fillId="14" borderId="40" xfId="0" applyNumberFormat="1" applyFont="1" applyFill="1" applyBorder="1" applyAlignment="1">
      <alignment horizontal="center" vertical="center"/>
    </xf>
    <xf numFmtId="0" fontId="41" fillId="14" borderId="18" xfId="0" applyFont="1" applyFill="1" applyBorder="1" applyAlignment="1">
      <alignment horizontal="center" vertical="center" textRotation="90"/>
    </xf>
    <xf numFmtId="0" fontId="41" fillId="14" borderId="35" xfId="0" applyFont="1" applyFill="1" applyBorder="1" applyAlignment="1">
      <alignment vertical="center"/>
    </xf>
    <xf numFmtId="10" fontId="40" fillId="14" borderId="69" xfId="0" applyNumberFormat="1" applyFont="1" applyFill="1" applyBorder="1" applyAlignment="1">
      <alignment horizontal="center" vertical="center"/>
    </xf>
    <xf numFmtId="2" fontId="41" fillId="0" borderId="1" xfId="0" applyNumberFormat="1" applyFont="1" applyFill="1" applyBorder="1" applyAlignment="1">
      <alignment horizontal="left" vertical="center"/>
    </xf>
    <xf numFmtId="2" fontId="41" fillId="0" borderId="7" xfId="0" applyNumberFormat="1" applyFont="1" applyFill="1" applyBorder="1" applyAlignment="1">
      <alignment horizontal="left" vertical="center"/>
    </xf>
    <xf numFmtId="2" fontId="41" fillId="0" borderId="15" xfId="0" applyNumberFormat="1" applyFont="1" applyBorder="1" applyAlignment="1">
      <alignment horizontal="left" vertical="center"/>
    </xf>
    <xf numFmtId="2" fontId="41" fillId="0" borderId="7" xfId="0" applyNumberFormat="1" applyFont="1" applyBorder="1" applyAlignment="1">
      <alignment horizontal="left" vertical="center"/>
    </xf>
    <xf numFmtId="2" fontId="41" fillId="0" borderId="1" xfId="0" applyNumberFormat="1" applyFont="1" applyBorder="1" applyAlignment="1">
      <alignment horizontal="left" vertical="center"/>
    </xf>
    <xf numFmtId="171" fontId="41" fillId="0" borderId="15" xfId="0" applyNumberFormat="1" applyFont="1" applyBorder="1" applyAlignment="1">
      <alignment horizontal="left" vertical="center"/>
    </xf>
    <xf numFmtId="171" fontId="41" fillId="0" borderId="1" xfId="0" applyNumberFormat="1" applyFont="1" applyBorder="1" applyAlignment="1">
      <alignment horizontal="left" vertical="center"/>
    </xf>
    <xf numFmtId="2" fontId="41" fillId="0" borderId="1" xfId="0" applyNumberFormat="1" applyFont="1" applyFill="1" applyBorder="1" applyAlignment="1">
      <alignment horizontal="left" vertical="center" wrapText="1"/>
    </xf>
    <xf numFmtId="2" fontId="41" fillId="0" borderId="7" xfId="0" applyNumberFormat="1" applyFont="1" applyBorder="1" applyAlignment="1">
      <alignment horizontal="left" vertical="center" wrapText="1"/>
    </xf>
    <xf numFmtId="0" fontId="41" fillId="0" borderId="13" xfId="0" applyFont="1" applyBorder="1"/>
    <xf numFmtId="0" fontId="41" fillId="4" borderId="12" xfId="0" applyFont="1" applyFill="1" applyBorder="1" applyAlignment="1">
      <alignment horizontal="center" vertical="center"/>
    </xf>
    <xf numFmtId="2" fontId="41" fillId="18" borderId="7" xfId="0" applyNumberFormat="1" applyFont="1" applyFill="1" applyBorder="1" applyAlignment="1">
      <alignment horizontal="center" vertical="center"/>
    </xf>
    <xf numFmtId="10" fontId="41" fillId="18" borderId="7" xfId="0" applyNumberFormat="1" applyFont="1" applyFill="1" applyBorder="1" applyAlignment="1">
      <alignment horizontal="center" vertical="center"/>
    </xf>
    <xf numFmtId="4" fontId="41" fillId="8" borderId="7" xfId="0" applyNumberFormat="1" applyFont="1" applyFill="1" applyBorder="1" applyAlignment="1">
      <alignment horizontal="center" vertical="center"/>
    </xf>
    <xf numFmtId="10" fontId="40" fillId="14" borderId="63" xfId="0" applyNumberFormat="1" applyFont="1" applyFill="1" applyBorder="1" applyAlignment="1">
      <alignment horizontal="center" vertical="center"/>
    </xf>
    <xf numFmtId="0" fontId="41" fillId="14" borderId="46" xfId="0" applyFont="1" applyFill="1" applyBorder="1" applyAlignment="1">
      <alignment horizontal="center" vertical="center" textRotation="90"/>
    </xf>
    <xf numFmtId="10" fontId="40" fillId="16" borderId="68" xfId="0" applyNumberFormat="1" applyFont="1" applyFill="1" applyBorder="1" applyAlignment="1">
      <alignment horizontal="center" vertical="center"/>
    </xf>
    <xf numFmtId="0" fontId="41" fillId="16" borderId="25" xfId="0" applyFont="1" applyFill="1" applyBorder="1" applyAlignment="1">
      <alignment horizontal="center" vertical="center" textRotation="90"/>
    </xf>
    <xf numFmtId="0" fontId="41" fillId="6" borderId="1" xfId="0" applyFont="1" applyFill="1" applyBorder="1" applyAlignment="1">
      <alignment horizontal="center" vertical="center" wrapText="1"/>
    </xf>
    <xf numFmtId="0" fontId="41" fillId="6" borderId="1" xfId="0" applyFont="1" applyFill="1" applyBorder="1" applyAlignment="1">
      <alignment horizontal="center" vertical="center"/>
    </xf>
    <xf numFmtId="0" fontId="41" fillId="6" borderId="15" xfId="0" applyFont="1" applyFill="1" applyBorder="1" applyAlignment="1">
      <alignment horizontal="center" vertical="center"/>
    </xf>
    <xf numFmtId="0" fontId="41" fillId="6" borderId="7" xfId="0" applyFont="1" applyFill="1" applyBorder="1" applyAlignment="1">
      <alignment horizontal="center" vertical="center" wrapText="1"/>
    </xf>
    <xf numFmtId="0" fontId="41" fillId="6" borderId="6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49" xfId="0" applyFont="1" applyFill="1" applyBorder="1" applyAlignment="1">
      <alignment horizontal="center" vertical="center" wrapText="1"/>
    </xf>
    <xf numFmtId="0" fontId="41" fillId="6" borderId="49" xfId="0" applyFont="1" applyFill="1" applyBorder="1" applyAlignment="1">
      <alignment horizontal="center" vertical="center"/>
    </xf>
    <xf numFmtId="0" fontId="41" fillId="6" borderId="7" xfId="0" applyFont="1" applyFill="1" applyBorder="1" applyAlignment="1">
      <alignment horizontal="center" vertical="center"/>
    </xf>
    <xf numFmtId="0" fontId="40" fillId="6" borderId="0" xfId="0" applyFont="1" applyFill="1" applyBorder="1" applyAlignment="1">
      <alignment horizontal="center" vertical="center"/>
    </xf>
    <xf numFmtId="2" fontId="40" fillId="6" borderId="0" xfId="0" applyNumberFormat="1" applyFont="1" applyFill="1" applyBorder="1" applyAlignment="1">
      <alignment horizontal="center" vertical="center"/>
    </xf>
    <xf numFmtId="10" fontId="40" fillId="6" borderId="0" xfId="0" applyNumberFormat="1" applyFont="1" applyFill="1" applyBorder="1" applyAlignment="1">
      <alignment horizontal="center" vertical="center"/>
    </xf>
    <xf numFmtId="0" fontId="41" fillId="6" borderId="0" xfId="0" applyFont="1" applyFill="1" applyBorder="1" applyAlignment="1">
      <alignment vertical="center"/>
    </xf>
    <xf numFmtId="0" fontId="41" fillId="6" borderId="0" xfId="0" applyFont="1" applyFill="1" applyBorder="1" applyAlignment="1">
      <alignment horizontal="center" vertical="center" textRotation="90"/>
    </xf>
    <xf numFmtId="0" fontId="48" fillId="4" borderId="6" xfId="0" applyFont="1" applyFill="1" applyBorder="1" applyAlignment="1">
      <alignment horizontal="left"/>
    </xf>
    <xf numFmtId="0" fontId="48" fillId="3" borderId="12" xfId="0" applyFont="1" applyFill="1" applyBorder="1" applyAlignment="1">
      <alignment horizontal="left"/>
    </xf>
    <xf numFmtId="0" fontId="48" fillId="2" borderId="12" xfId="0" applyFont="1" applyFill="1" applyBorder="1" applyAlignment="1">
      <alignment horizontal="left"/>
    </xf>
    <xf numFmtId="0" fontId="48" fillId="0" borderId="36" xfId="0" applyFont="1" applyBorder="1" applyAlignment="1">
      <alignment horizontal="center"/>
    </xf>
    <xf numFmtId="0" fontId="44" fillId="0" borderId="38" xfId="0" applyFont="1" applyFill="1" applyBorder="1" applyAlignment="1">
      <alignment horizontal="center" vertical="center"/>
    </xf>
    <xf numFmtId="0" fontId="44" fillId="0" borderId="15" xfId="0" applyFont="1" applyFill="1" applyBorder="1" applyAlignment="1">
      <alignment horizontal="center" vertical="center"/>
    </xf>
    <xf numFmtId="0" fontId="44" fillId="0" borderId="15" xfId="0" applyFont="1" applyBorder="1" applyAlignment="1">
      <alignment vertical="center"/>
    </xf>
    <xf numFmtId="0" fontId="44" fillId="0" borderId="15" xfId="0" applyFont="1" applyFill="1" applyBorder="1" applyAlignment="1">
      <alignment vertical="center"/>
    </xf>
    <xf numFmtId="170" fontId="44" fillId="0" borderId="15" xfId="0" applyNumberFormat="1" applyFont="1" applyBorder="1" applyAlignment="1">
      <alignment vertical="center"/>
    </xf>
    <xf numFmtId="4" fontId="44" fillId="0" borderId="15" xfId="0" applyNumberFormat="1" applyFont="1" applyBorder="1" applyAlignment="1">
      <alignment vertical="center"/>
    </xf>
    <xf numFmtId="0" fontId="44" fillId="3" borderId="15" xfId="0" applyFont="1" applyFill="1" applyBorder="1" applyAlignment="1">
      <alignment horizontal="center" vertical="center"/>
    </xf>
    <xf numFmtId="167" fontId="44" fillId="0" borderId="15" xfId="0" applyNumberFormat="1" applyFont="1" applyFill="1" applyBorder="1" applyAlignment="1">
      <alignment vertical="center"/>
    </xf>
    <xf numFmtId="171" fontId="44" fillId="0" borderId="16" xfId="0" applyNumberFormat="1" applyFont="1" applyFill="1" applyBorder="1" applyAlignment="1">
      <alignment horizontal="center" vertical="center"/>
    </xf>
    <xf numFmtId="165" fontId="44" fillId="0" borderId="48" xfId="1" applyNumberFormat="1" applyFont="1" applyFill="1" applyBorder="1" applyAlignment="1">
      <alignment vertical="center"/>
    </xf>
    <xf numFmtId="166" fontId="44" fillId="0" borderId="15" xfId="1" applyNumberFormat="1" applyFont="1" applyFill="1" applyBorder="1" applyAlignment="1">
      <alignment vertical="center"/>
    </xf>
    <xf numFmtId="166" fontId="44" fillId="0" borderId="15" xfId="1" applyNumberFormat="1" applyFont="1" applyBorder="1" applyAlignment="1">
      <alignment vertical="center"/>
    </xf>
    <xf numFmtId="168" fontId="44" fillId="0" borderId="15" xfId="0" applyNumberFormat="1" applyFont="1" applyFill="1" applyBorder="1" applyAlignment="1">
      <alignment horizontal="center" vertical="center"/>
    </xf>
    <xf numFmtId="0" fontId="44" fillId="0" borderId="1" xfId="0" applyFont="1" applyFill="1" applyBorder="1" applyAlignment="1">
      <alignment horizontal="center" vertical="center"/>
    </xf>
    <xf numFmtId="175" fontId="44" fillId="4" borderId="1" xfId="0" applyNumberFormat="1" applyFont="1" applyFill="1" applyBorder="1" applyAlignment="1">
      <alignment horizontal="center" vertical="center"/>
    </xf>
    <xf numFmtId="175" fontId="44" fillId="4" borderId="24" xfId="0" applyNumberFormat="1" applyFont="1" applyFill="1" applyBorder="1" applyAlignment="1">
      <alignment horizontal="center" vertical="center"/>
    </xf>
    <xf numFmtId="0" fontId="44" fillId="0" borderId="14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4" fontId="44" fillId="0" borderId="1" xfId="0" applyNumberFormat="1" applyFont="1" applyBorder="1" applyAlignment="1">
      <alignment vertical="center"/>
    </xf>
    <xf numFmtId="0" fontId="44" fillId="3" borderId="1" xfId="0" applyFont="1" applyFill="1" applyBorder="1" applyAlignment="1">
      <alignment horizontal="center" vertical="center"/>
    </xf>
    <xf numFmtId="167" fontId="44" fillId="0" borderId="1" xfId="0" applyNumberFormat="1" applyFont="1" applyFill="1" applyBorder="1" applyAlignment="1">
      <alignment vertical="center"/>
    </xf>
    <xf numFmtId="171" fontId="44" fillId="0" borderId="25" xfId="0" applyNumberFormat="1" applyFont="1" applyFill="1" applyBorder="1" applyAlignment="1">
      <alignment horizontal="center" vertical="center"/>
    </xf>
    <xf numFmtId="165" fontId="44" fillId="0" borderId="49" xfId="1" applyNumberFormat="1" applyFont="1" applyFill="1" applyBorder="1" applyAlignment="1">
      <alignment vertical="center"/>
    </xf>
    <xf numFmtId="166" fontId="44" fillId="0" borderId="1" xfId="1" applyNumberFormat="1" applyFont="1" applyFill="1" applyBorder="1" applyAlignment="1">
      <alignment vertical="center"/>
    </xf>
    <xf numFmtId="166" fontId="44" fillId="0" borderId="7" xfId="1" applyNumberFormat="1" applyFont="1" applyBorder="1" applyAlignment="1">
      <alignment vertical="center"/>
    </xf>
    <xf numFmtId="168" fontId="44" fillId="0" borderId="7" xfId="0" applyNumberFormat="1" applyFont="1" applyFill="1" applyBorder="1" applyAlignment="1">
      <alignment horizontal="center" vertical="center"/>
    </xf>
    <xf numFmtId="0" fontId="44" fillId="0" borderId="14" xfId="0" applyFont="1" applyFill="1" applyBorder="1" applyAlignment="1">
      <alignment horizontal="center" vertical="center"/>
    </xf>
    <xf numFmtId="0" fontId="44" fillId="2" borderId="1" xfId="0" applyFont="1" applyFill="1" applyBorder="1" applyAlignment="1">
      <alignment horizontal="center" vertical="center"/>
    </xf>
    <xf numFmtId="175" fontId="44" fillId="0" borderId="1" xfId="0" applyNumberFormat="1" applyFont="1" applyFill="1" applyBorder="1" applyAlignment="1">
      <alignment horizontal="center" vertical="center"/>
    </xf>
    <xf numFmtId="174" fontId="44" fillId="0" borderId="1" xfId="0" applyNumberFormat="1" applyFont="1" applyBorder="1" applyAlignment="1">
      <alignment horizontal="center" vertical="center"/>
    </xf>
    <xf numFmtId="43" fontId="44" fillId="0" borderId="1" xfId="1" applyFont="1" applyBorder="1" applyAlignment="1">
      <alignment vertical="center"/>
    </xf>
    <xf numFmtId="0" fontId="44" fillId="0" borderId="1" xfId="0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left" vertical="center"/>
    </xf>
    <xf numFmtId="0" fontId="44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vertical="center" wrapText="1"/>
    </xf>
    <xf numFmtId="0" fontId="44" fillId="0" borderId="1" xfId="0" applyFont="1" applyBorder="1" applyAlignment="1">
      <alignment horizontal="center" vertical="center"/>
    </xf>
    <xf numFmtId="0" fontId="44" fillId="4" borderId="7" xfId="0" applyFont="1" applyFill="1" applyBorder="1" applyAlignment="1">
      <alignment horizontal="center" vertical="center"/>
    </xf>
    <xf numFmtId="0" fontId="44" fillId="0" borderId="7" xfId="0" applyFont="1" applyFill="1" applyBorder="1" applyAlignment="1">
      <alignment horizontal="center" vertical="center"/>
    </xf>
    <xf numFmtId="165" fontId="44" fillId="0" borderId="1" xfId="1" applyNumberFormat="1" applyFont="1" applyFill="1" applyBorder="1" applyAlignment="1">
      <alignment vertical="center"/>
    </xf>
    <xf numFmtId="0" fontId="44" fillId="0" borderId="47" xfId="0" applyFont="1" applyFill="1" applyBorder="1" applyAlignment="1">
      <alignment horizontal="center" vertical="center" wrapText="1"/>
    </xf>
    <xf numFmtId="0" fontId="44" fillId="0" borderId="6" xfId="0" applyFont="1" applyBorder="1" applyAlignment="1">
      <alignment horizontal="center" vertical="center" wrapText="1"/>
    </xf>
    <xf numFmtId="0" fontId="44" fillId="0" borderId="6" xfId="0" applyFont="1" applyBorder="1" applyAlignment="1">
      <alignment vertical="center"/>
    </xf>
    <xf numFmtId="0" fontId="44" fillId="0" borderId="6" xfId="0" applyFont="1" applyBorder="1" applyAlignment="1">
      <alignment vertical="center" wrapText="1"/>
    </xf>
    <xf numFmtId="0" fontId="44" fillId="0" borderId="6" xfId="0" applyFont="1" applyBorder="1" applyAlignment="1">
      <alignment horizontal="center" vertical="center"/>
    </xf>
    <xf numFmtId="0" fontId="44" fillId="4" borderId="12" xfId="0" applyFont="1" applyFill="1" applyBorder="1" applyAlignment="1">
      <alignment horizontal="center" vertical="center"/>
    </xf>
    <xf numFmtId="0" fontId="44" fillId="0" borderId="12" xfId="0" applyFont="1" applyFill="1" applyBorder="1" applyAlignment="1">
      <alignment horizontal="center" vertical="center"/>
    </xf>
    <xf numFmtId="0" fontId="44" fillId="0" borderId="6" xfId="0" applyFont="1" applyFill="1" applyBorder="1" applyAlignment="1">
      <alignment horizontal="center" vertical="center"/>
    </xf>
    <xf numFmtId="167" fontId="44" fillId="0" borderId="6" xfId="0" applyNumberFormat="1" applyFont="1" applyFill="1" applyBorder="1" applyAlignment="1">
      <alignment vertical="center"/>
    </xf>
    <xf numFmtId="171" fontId="44" fillId="0" borderId="46" xfId="0" applyNumberFormat="1" applyFont="1" applyFill="1" applyBorder="1" applyAlignment="1">
      <alignment horizontal="center" vertical="center"/>
    </xf>
    <xf numFmtId="165" fontId="44" fillId="0" borderId="3" xfId="1" applyNumberFormat="1" applyFont="1" applyFill="1" applyBorder="1" applyAlignment="1">
      <alignment vertical="center"/>
    </xf>
    <xf numFmtId="166" fontId="44" fillId="0" borderId="6" xfId="1" applyNumberFormat="1" applyFont="1" applyFill="1" applyBorder="1" applyAlignment="1">
      <alignment vertical="center"/>
    </xf>
    <xf numFmtId="166" fontId="44" fillId="0" borderId="12" xfId="1" applyNumberFormat="1" applyFont="1" applyBorder="1" applyAlignment="1">
      <alignment vertical="center"/>
    </xf>
    <xf numFmtId="0" fontId="44" fillId="0" borderId="6" xfId="0" applyFont="1" applyFill="1" applyBorder="1" applyAlignment="1">
      <alignment vertical="center"/>
    </xf>
    <xf numFmtId="165" fontId="44" fillId="0" borderId="6" xfId="1" applyNumberFormat="1" applyFont="1" applyFill="1" applyBorder="1" applyAlignment="1">
      <alignment vertical="center"/>
    </xf>
    <xf numFmtId="175" fontId="44" fillId="4" borderId="6" xfId="0" applyNumberFormat="1" applyFont="1" applyFill="1" applyBorder="1" applyAlignment="1">
      <alignment horizontal="center" vertical="center"/>
    </xf>
    <xf numFmtId="175" fontId="44" fillId="4" borderId="2" xfId="0" applyNumberFormat="1" applyFont="1" applyFill="1" applyBorder="1" applyAlignment="1">
      <alignment horizontal="center" vertical="center"/>
    </xf>
    <xf numFmtId="0" fontId="44" fillId="7" borderId="38" xfId="0" applyFont="1" applyFill="1" applyBorder="1" applyAlignment="1">
      <alignment horizontal="center" vertical="center"/>
    </xf>
    <xf numFmtId="0" fontId="44" fillId="7" borderId="15" xfId="0" applyFont="1" applyFill="1" applyBorder="1" applyAlignment="1">
      <alignment horizontal="center" vertical="center" wrapText="1"/>
    </xf>
    <xf numFmtId="0" fontId="44" fillId="7" borderId="15" xfId="0" applyFont="1" applyFill="1" applyBorder="1" applyAlignment="1">
      <alignment vertical="center"/>
    </xf>
    <xf numFmtId="165" fontId="44" fillId="7" borderId="15" xfId="1" applyNumberFormat="1" applyFont="1" applyFill="1" applyBorder="1" applyAlignment="1">
      <alignment vertical="center"/>
    </xf>
    <xf numFmtId="0" fontId="44" fillId="7" borderId="15" xfId="0" applyFont="1" applyFill="1" applyBorder="1" applyAlignment="1">
      <alignment horizontal="center" vertical="center"/>
    </xf>
    <xf numFmtId="0" fontId="44" fillId="11" borderId="15" xfId="0" applyFont="1" applyFill="1" applyBorder="1" applyAlignment="1">
      <alignment vertical="center"/>
    </xf>
    <xf numFmtId="171" fontId="44" fillId="7" borderId="16" xfId="0" applyNumberFormat="1" applyFont="1" applyFill="1" applyBorder="1" applyAlignment="1">
      <alignment horizontal="center" vertical="center"/>
    </xf>
    <xf numFmtId="165" fontId="44" fillId="11" borderId="48" xfId="1" applyNumberFormat="1" applyFont="1" applyFill="1" applyBorder="1" applyAlignment="1">
      <alignment vertical="center"/>
    </xf>
    <xf numFmtId="166" fontId="44" fillId="11" borderId="15" xfId="1" applyNumberFormat="1" applyFont="1" applyFill="1" applyBorder="1" applyAlignment="1">
      <alignment vertical="center"/>
    </xf>
    <xf numFmtId="166" fontId="44" fillId="7" borderId="15" xfId="1" applyNumberFormat="1" applyFont="1" applyFill="1" applyBorder="1" applyAlignment="1">
      <alignment vertical="center"/>
    </xf>
    <xf numFmtId="165" fontId="44" fillId="7" borderId="39" xfId="1" applyNumberFormat="1" applyFont="1" applyFill="1" applyBorder="1" applyAlignment="1">
      <alignment vertical="center"/>
    </xf>
    <xf numFmtId="2" fontId="44" fillId="0" borderId="1" xfId="0" applyNumberFormat="1" applyFont="1" applyFill="1" applyBorder="1" applyAlignment="1">
      <alignment horizontal="center" vertical="center"/>
    </xf>
    <xf numFmtId="0" fontId="44" fillId="6" borderId="1" xfId="0" applyFont="1" applyFill="1" applyBorder="1" applyAlignment="1">
      <alignment vertical="center"/>
    </xf>
    <xf numFmtId="0" fontId="44" fillId="4" borderId="6" xfId="0" applyFont="1" applyFill="1" applyBorder="1" applyAlignment="1">
      <alignment horizontal="center" vertical="center"/>
    </xf>
    <xf numFmtId="171" fontId="44" fillId="2" borderId="49" xfId="0" applyNumberFormat="1" applyFont="1" applyFill="1" applyBorder="1" applyAlignment="1">
      <alignment horizontal="center" vertical="center" wrapText="1"/>
    </xf>
    <xf numFmtId="166" fontId="44" fillId="2" borderId="1" xfId="1" applyNumberFormat="1" applyFont="1" applyFill="1" applyBorder="1" applyAlignment="1">
      <alignment vertical="center"/>
    </xf>
    <xf numFmtId="168" fontId="44" fillId="2" borderId="1" xfId="1" applyNumberFormat="1" applyFont="1" applyFill="1" applyBorder="1" applyAlignment="1">
      <alignment vertical="center"/>
    </xf>
    <xf numFmtId="166" fontId="44" fillId="2" borderId="1" xfId="0" applyNumberFormat="1" applyFont="1" applyFill="1" applyBorder="1" applyAlignment="1">
      <alignment horizontal="center" vertical="center"/>
    </xf>
    <xf numFmtId="2" fontId="44" fillId="0" borderId="1" xfId="1" applyNumberFormat="1" applyFont="1" applyFill="1" applyBorder="1" applyAlignment="1">
      <alignment horizontal="center" vertical="center"/>
    </xf>
    <xf numFmtId="2" fontId="44" fillId="0" borderId="24" xfId="0" applyNumberFormat="1" applyFont="1" applyFill="1" applyBorder="1" applyAlignment="1">
      <alignment horizontal="center" vertical="center"/>
    </xf>
    <xf numFmtId="171" fontId="44" fillId="0" borderId="49" xfId="0" applyNumberFormat="1" applyFont="1" applyFill="1" applyBorder="1" applyAlignment="1">
      <alignment horizontal="center" vertical="center" wrapText="1"/>
    </xf>
    <xf numFmtId="0" fontId="44" fillId="3" borderId="6" xfId="0" applyFont="1" applyFill="1" applyBorder="1" applyAlignment="1">
      <alignment horizontal="center" vertical="center"/>
    </xf>
    <xf numFmtId="0" fontId="44" fillId="0" borderId="1" xfId="0" applyFont="1" applyFill="1" applyBorder="1" applyAlignment="1">
      <alignment vertical="center" wrapText="1"/>
    </xf>
    <xf numFmtId="174" fontId="44" fillId="0" borderId="6" xfId="0" applyNumberFormat="1" applyFont="1" applyBorder="1" applyAlignment="1">
      <alignment horizontal="center" vertical="center"/>
    </xf>
    <xf numFmtId="2" fontId="44" fillId="0" borderId="6" xfId="0" applyNumberFormat="1" applyFont="1" applyFill="1" applyBorder="1" applyAlignment="1">
      <alignment horizontal="center" vertical="center"/>
    </xf>
    <xf numFmtId="171" fontId="44" fillId="0" borderId="1" xfId="0" applyNumberFormat="1" applyFont="1" applyFill="1" applyBorder="1" applyAlignment="1">
      <alignment horizontal="center" vertical="center"/>
    </xf>
    <xf numFmtId="171" fontId="44" fillId="0" borderId="1" xfId="0" applyNumberFormat="1" applyFont="1" applyFill="1" applyBorder="1" applyAlignment="1">
      <alignment horizontal="center" vertical="center" wrapText="1"/>
    </xf>
    <xf numFmtId="0" fontId="48" fillId="0" borderId="15" xfId="0" applyFont="1" applyFill="1" applyBorder="1" applyAlignment="1">
      <alignment horizontal="center" vertical="center"/>
    </xf>
    <xf numFmtId="0" fontId="48" fillId="12" borderId="15" xfId="0" applyFont="1" applyFill="1" applyBorder="1" applyAlignment="1">
      <alignment horizontal="center" vertical="center"/>
    </xf>
    <xf numFmtId="0" fontId="48" fillId="12" borderId="15" xfId="0" applyFont="1" applyFill="1" applyBorder="1" applyAlignment="1">
      <alignment vertical="center"/>
    </xf>
    <xf numFmtId="0" fontId="48" fillId="12" borderId="16" xfId="0" applyFont="1" applyFill="1" applyBorder="1" applyAlignment="1">
      <alignment vertical="center"/>
    </xf>
    <xf numFmtId="0" fontId="49" fillId="0" borderId="48" xfId="0" applyFont="1" applyFill="1" applyBorder="1" applyAlignment="1">
      <alignment vertical="center"/>
    </xf>
    <xf numFmtId="0" fontId="49" fillId="0" borderId="15" xfId="0" applyFont="1" applyFill="1" applyBorder="1" applyAlignment="1">
      <alignment vertical="center"/>
    </xf>
    <xf numFmtId="0" fontId="54" fillId="0" borderId="15" xfId="0" applyFont="1" applyBorder="1"/>
    <xf numFmtId="0" fontId="54" fillId="0" borderId="39" xfId="0" applyFont="1" applyFill="1" applyBorder="1" applyAlignment="1">
      <alignment vertical="center"/>
    </xf>
    <xf numFmtId="0" fontId="36" fillId="0" borderId="1" xfId="0" applyFont="1" applyFill="1" applyBorder="1" applyAlignment="1">
      <alignment horizontal="center" vertical="center"/>
    </xf>
    <xf numFmtId="0" fontId="36" fillId="13" borderId="1" xfId="0" applyFont="1" applyFill="1" applyBorder="1" applyAlignment="1">
      <alignment horizontal="center" vertical="center"/>
    </xf>
    <xf numFmtId="0" fontId="49" fillId="13" borderId="1" xfId="0" applyFont="1" applyFill="1" applyBorder="1" applyAlignment="1">
      <alignment vertical="center"/>
    </xf>
    <xf numFmtId="0" fontId="49" fillId="13" borderId="25" xfId="0" applyFont="1" applyFill="1" applyBorder="1" applyAlignment="1">
      <alignment vertical="center"/>
    </xf>
    <xf numFmtId="0" fontId="38" fillId="0" borderId="0" xfId="0" applyFont="1" applyBorder="1"/>
    <xf numFmtId="166" fontId="38" fillId="0" borderId="0" xfId="1" applyNumberFormat="1" applyFont="1" applyBorder="1"/>
    <xf numFmtId="2" fontId="36" fillId="0" borderId="1" xfId="0" applyNumberFormat="1" applyFont="1" applyBorder="1" applyAlignment="1">
      <alignment horizontal="center"/>
    </xf>
    <xf numFmtId="0" fontId="36" fillId="9" borderId="1" xfId="0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vertical="center"/>
    </xf>
    <xf numFmtId="0" fontId="49" fillId="9" borderId="25" xfId="0" applyFont="1" applyFill="1" applyBorder="1" applyAlignment="1">
      <alignment vertical="center"/>
    </xf>
    <xf numFmtId="0" fontId="36" fillId="2" borderId="17" xfId="0" applyFont="1" applyFill="1" applyBorder="1" applyAlignment="1">
      <alignment horizontal="center" vertical="center"/>
    </xf>
    <xf numFmtId="0" fontId="49" fillId="2" borderId="17" xfId="0" applyFont="1" applyFill="1" applyBorder="1" applyAlignment="1">
      <alignment vertical="center"/>
    </xf>
    <xf numFmtId="0" fontId="49" fillId="2" borderId="18" xfId="0" applyFont="1" applyFill="1" applyBorder="1" applyAlignment="1">
      <alignment vertical="center"/>
    </xf>
    <xf numFmtId="0" fontId="38" fillId="2" borderId="23" xfId="0" applyFont="1" applyFill="1" applyBorder="1"/>
    <xf numFmtId="166" fontId="38" fillId="2" borderId="23" xfId="1" applyNumberFormat="1" applyFont="1" applyFill="1" applyBorder="1"/>
    <xf numFmtId="2" fontId="36" fillId="2" borderId="17" xfId="0" applyNumberFormat="1" applyFont="1" applyFill="1" applyBorder="1" applyAlignment="1">
      <alignment horizontal="center"/>
    </xf>
    <xf numFmtId="0" fontId="48" fillId="4" borderId="6" xfId="0" applyFont="1" applyFill="1" applyBorder="1" applyAlignment="1">
      <alignment horizontal="left" vertical="center"/>
    </xf>
    <xf numFmtId="0" fontId="48" fillId="3" borderId="12" xfId="0" applyFont="1" applyFill="1" applyBorder="1" applyAlignment="1">
      <alignment horizontal="left" vertical="center"/>
    </xf>
    <xf numFmtId="0" fontId="48" fillId="2" borderId="12" xfId="0" applyFont="1" applyFill="1" applyBorder="1" applyAlignment="1">
      <alignment horizontal="left" vertical="center"/>
    </xf>
    <xf numFmtId="0" fontId="48" fillId="0" borderId="36" xfId="0" applyFont="1" applyBorder="1" applyAlignment="1">
      <alignment horizontal="center" vertical="center"/>
    </xf>
    <xf numFmtId="0" fontId="54" fillId="0" borderId="15" xfId="0" applyFont="1" applyBorder="1" applyAlignment="1">
      <alignment vertical="center"/>
    </xf>
    <xf numFmtId="0" fontId="38" fillId="0" borderId="0" xfId="0" applyFont="1" applyBorder="1" applyAlignment="1">
      <alignment vertical="center"/>
    </xf>
    <xf numFmtId="166" fontId="38" fillId="0" borderId="0" xfId="1" applyNumberFormat="1" applyFont="1" applyBorder="1" applyAlignment="1">
      <alignment vertical="center"/>
    </xf>
    <xf numFmtId="2" fontId="36" fillId="0" borderId="1" xfId="0" applyNumberFormat="1" applyFont="1" applyBorder="1" applyAlignment="1">
      <alignment horizontal="center" vertical="center"/>
    </xf>
    <xf numFmtId="2" fontId="36" fillId="0" borderId="24" xfId="0" applyNumberFormat="1" applyFont="1" applyBorder="1" applyAlignment="1">
      <alignment horizontal="center" vertical="center"/>
    </xf>
    <xf numFmtId="0" fontId="38" fillId="2" borderId="23" xfId="0" applyFont="1" applyFill="1" applyBorder="1" applyAlignment="1">
      <alignment vertical="center"/>
    </xf>
    <xf numFmtId="166" fontId="38" fillId="2" borderId="23" xfId="1" applyNumberFormat="1" applyFont="1" applyFill="1" applyBorder="1" applyAlignment="1">
      <alignment vertical="center"/>
    </xf>
    <xf numFmtId="2" fontId="36" fillId="2" borderId="17" xfId="0" applyNumberFormat="1" applyFont="1" applyFill="1" applyBorder="1" applyAlignment="1">
      <alignment horizontal="center" vertical="center"/>
    </xf>
    <xf numFmtId="2" fontId="36" fillId="2" borderId="41" xfId="0" applyNumberFormat="1" applyFont="1" applyFill="1" applyBorder="1" applyAlignment="1">
      <alignment horizontal="center" vertical="center"/>
    </xf>
    <xf numFmtId="168" fontId="44" fillId="0" borderId="39" xfId="0" applyNumberFormat="1" applyFont="1" applyFill="1" applyBorder="1" applyAlignment="1">
      <alignment horizontal="center" vertical="center"/>
    </xf>
    <xf numFmtId="168" fontId="44" fillId="0" borderId="4" xfId="0" applyNumberFormat="1" applyFont="1" applyFill="1" applyBorder="1" applyAlignment="1">
      <alignment horizontal="center" vertical="center"/>
    </xf>
    <xf numFmtId="0" fontId="44" fillId="0" borderId="24" xfId="0" applyFont="1" applyFill="1" applyBorder="1" applyAlignment="1">
      <alignment vertical="center"/>
    </xf>
    <xf numFmtId="0" fontId="44" fillId="0" borderId="2" xfId="0" applyFont="1" applyFill="1" applyBorder="1" applyAlignment="1">
      <alignment vertical="center"/>
    </xf>
    <xf numFmtId="0" fontId="44" fillId="7" borderId="39" xfId="0" applyFont="1" applyFill="1" applyBorder="1" applyAlignment="1">
      <alignment vertical="center"/>
    </xf>
    <xf numFmtId="0" fontId="44" fillId="2" borderId="24" xfId="0" applyFont="1" applyFill="1" applyBorder="1" applyAlignment="1">
      <alignment horizontal="center" vertical="center"/>
    </xf>
    <xf numFmtId="0" fontId="44" fillId="0" borderId="24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165" fontId="44" fillId="0" borderId="14" xfId="1" applyNumberFormat="1" applyFont="1" applyFill="1" applyBorder="1" applyAlignment="1">
      <alignment vertical="center"/>
    </xf>
    <xf numFmtId="165" fontId="44" fillId="0" borderId="47" xfId="1" applyNumberFormat="1" applyFont="1" applyFill="1" applyBorder="1" applyAlignment="1">
      <alignment vertical="center"/>
    </xf>
    <xf numFmtId="165" fontId="44" fillId="7" borderId="38" xfId="1" applyNumberFormat="1" applyFont="1" applyFill="1" applyBorder="1" applyAlignment="1">
      <alignment vertical="center"/>
    </xf>
    <xf numFmtId="2" fontId="44" fillId="0" borderId="14" xfId="1" applyNumberFormat="1" applyFont="1" applyFill="1" applyBorder="1" applyAlignment="1">
      <alignment horizontal="center" vertical="center"/>
    </xf>
    <xf numFmtId="2" fontId="36" fillId="0" borderId="14" xfId="0" applyNumberFormat="1" applyFont="1" applyBorder="1" applyAlignment="1">
      <alignment horizontal="center" vertical="center"/>
    </xf>
    <xf numFmtId="2" fontId="36" fillId="2" borderId="40" xfId="0" applyNumberFormat="1" applyFont="1" applyFill="1" applyBorder="1" applyAlignment="1">
      <alignment horizontal="center" vertical="center"/>
    </xf>
    <xf numFmtId="171" fontId="44" fillId="0" borderId="6" xfId="0" applyNumberFormat="1" applyFont="1" applyFill="1" applyBorder="1" applyAlignment="1">
      <alignment horizontal="center" vertical="center"/>
    </xf>
    <xf numFmtId="171" fontId="44" fillId="0" borderId="6" xfId="0" applyNumberFormat="1" applyFont="1" applyFill="1" applyBorder="1" applyAlignment="1">
      <alignment horizontal="center" vertical="center" wrapText="1"/>
    </xf>
    <xf numFmtId="2" fontId="44" fillId="0" borderId="47" xfId="1" applyNumberFormat="1" applyFont="1" applyFill="1" applyBorder="1" applyAlignment="1">
      <alignment horizontal="center" vertical="center"/>
    </xf>
    <xf numFmtId="2" fontId="44" fillId="0" borderId="6" xfId="1" applyNumberFormat="1" applyFont="1" applyFill="1" applyBorder="1" applyAlignment="1">
      <alignment horizontal="center" vertical="center"/>
    </xf>
    <xf numFmtId="2" fontId="44" fillId="0" borderId="2" xfId="0" applyNumberFormat="1" applyFont="1" applyFill="1" applyBorder="1" applyAlignment="1">
      <alignment horizontal="center" vertical="center"/>
    </xf>
    <xf numFmtId="0" fontId="48" fillId="0" borderId="38" xfId="0" applyFont="1" applyFill="1" applyBorder="1" applyAlignment="1">
      <alignment horizontal="center" vertical="center"/>
    </xf>
    <xf numFmtId="2" fontId="36" fillId="0" borderId="38" xfId="1" applyNumberFormat="1" applyFont="1" applyFill="1" applyBorder="1" applyAlignment="1">
      <alignment horizontal="center" vertical="center"/>
    </xf>
    <xf numFmtId="2" fontId="36" fillId="0" borderId="15" xfId="1" applyNumberFormat="1" applyFont="1" applyFill="1" applyBorder="1" applyAlignment="1">
      <alignment horizontal="center" vertical="center"/>
    </xf>
    <xf numFmtId="2" fontId="36" fillId="0" borderId="39" xfId="1" applyNumberFormat="1" applyFont="1" applyFill="1" applyBorder="1" applyAlignment="1">
      <alignment horizontal="center" vertical="center"/>
    </xf>
    <xf numFmtId="0" fontId="36" fillId="0" borderId="14" xfId="0" applyFont="1" applyFill="1" applyBorder="1" applyAlignment="1">
      <alignment horizontal="center" vertical="center"/>
    </xf>
    <xf numFmtId="0" fontId="36" fillId="2" borderId="40" xfId="0" applyFont="1" applyFill="1" applyBorder="1" applyAlignment="1">
      <alignment horizontal="center" vertical="center"/>
    </xf>
    <xf numFmtId="168" fontId="27" fillId="0" borderId="39" xfId="0" applyNumberFormat="1" applyFont="1" applyFill="1" applyBorder="1" applyAlignment="1">
      <alignment horizontal="center" vertical="center"/>
    </xf>
    <xf numFmtId="168" fontId="27" fillId="0" borderId="4" xfId="0" applyNumberFormat="1" applyFont="1" applyFill="1" applyBorder="1" applyAlignment="1">
      <alignment horizontal="center" vertical="center"/>
    </xf>
    <xf numFmtId="0" fontId="20" fillId="7" borderId="24" xfId="0" applyFont="1" applyFill="1" applyBorder="1" applyAlignment="1">
      <alignment vertical="center"/>
    </xf>
    <xf numFmtId="0" fontId="20" fillId="2" borderId="24" xfId="0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37" xfId="0" applyFont="1" applyFill="1" applyBorder="1" applyAlignment="1">
      <alignment horizontal="center" vertical="center"/>
    </xf>
    <xf numFmtId="165" fontId="20" fillId="0" borderId="14" xfId="1" applyNumberFormat="1" applyFont="1" applyFill="1" applyBorder="1" applyAlignment="1">
      <alignment vertical="center"/>
    </xf>
    <xf numFmtId="165" fontId="20" fillId="7" borderId="14" xfId="1" applyNumberFormat="1" applyFont="1" applyFill="1" applyBorder="1" applyAlignment="1">
      <alignment vertical="center"/>
    </xf>
    <xf numFmtId="2" fontId="20" fillId="0" borderId="14" xfId="1" applyNumberFormat="1" applyFont="1" applyFill="1" applyBorder="1" applyAlignment="1">
      <alignment horizontal="center" vertical="center"/>
    </xf>
    <xf numFmtId="2" fontId="20" fillId="0" borderId="47" xfId="1" applyNumberFormat="1" applyFont="1" applyFill="1" applyBorder="1" applyAlignment="1">
      <alignment horizontal="center" vertical="center"/>
    </xf>
    <xf numFmtId="2" fontId="20" fillId="0" borderId="35" xfId="1" applyNumberFormat="1" applyFont="1" applyFill="1" applyBorder="1" applyAlignment="1">
      <alignment horizontal="center" vertical="center"/>
    </xf>
    <xf numFmtId="175" fontId="44" fillId="4" borderId="15" xfId="0" applyNumberFormat="1" applyFont="1" applyFill="1" applyBorder="1" applyAlignment="1">
      <alignment horizontal="center" vertical="center"/>
    </xf>
    <xf numFmtId="175" fontId="44" fillId="4" borderId="16" xfId="0" applyNumberFormat="1" applyFont="1" applyFill="1" applyBorder="1" applyAlignment="1">
      <alignment horizontal="center" vertical="center"/>
    </xf>
    <xf numFmtId="0" fontId="46" fillId="15" borderId="61" xfId="0" applyFont="1" applyFill="1" applyBorder="1" applyAlignment="1">
      <alignment vertical="center"/>
    </xf>
    <xf numFmtId="175" fontId="44" fillId="4" borderId="7" xfId="0" applyNumberFormat="1" applyFont="1" applyFill="1" applyBorder="1" applyAlignment="1">
      <alignment horizontal="center" vertical="center"/>
    </xf>
    <xf numFmtId="175" fontId="44" fillId="0" borderId="7" xfId="0" applyNumberFormat="1" applyFont="1" applyFill="1" applyBorder="1" applyAlignment="1">
      <alignment horizontal="center" vertical="center"/>
    </xf>
    <xf numFmtId="175" fontId="44" fillId="4" borderId="53" xfId="0" applyNumberFormat="1" applyFont="1" applyFill="1" applyBorder="1" applyAlignment="1">
      <alignment horizontal="center" vertical="center"/>
    </xf>
    <xf numFmtId="0" fontId="46" fillId="15" borderId="65" xfId="0" applyFont="1" applyFill="1" applyBorder="1" applyAlignment="1">
      <alignment vertical="center"/>
    </xf>
    <xf numFmtId="0" fontId="44" fillId="7" borderId="14" xfId="0" applyFont="1" applyFill="1" applyBorder="1" applyAlignment="1">
      <alignment horizontal="center" vertical="center"/>
    </xf>
    <xf numFmtId="0" fontId="44" fillId="7" borderId="1" xfId="0" applyFont="1" applyFill="1" applyBorder="1" applyAlignment="1">
      <alignment horizontal="center" vertical="center" wrapText="1"/>
    </xf>
    <xf numFmtId="0" fontId="44" fillId="7" borderId="1" xfId="0" applyFont="1" applyFill="1" applyBorder="1" applyAlignment="1">
      <alignment vertical="center"/>
    </xf>
    <xf numFmtId="165" fontId="44" fillId="7" borderId="1" xfId="1" applyNumberFormat="1" applyFont="1" applyFill="1" applyBorder="1" applyAlignment="1">
      <alignment vertical="center"/>
    </xf>
    <xf numFmtId="0" fontId="44" fillId="7" borderId="1" xfId="0" applyFont="1" applyFill="1" applyBorder="1" applyAlignment="1">
      <alignment horizontal="center" vertical="center"/>
    </xf>
    <xf numFmtId="0" fontId="44" fillId="11" borderId="1" xfId="0" applyFont="1" applyFill="1" applyBorder="1" applyAlignment="1">
      <alignment vertical="center"/>
    </xf>
    <xf numFmtId="171" fontId="44" fillId="7" borderId="25" xfId="0" applyNumberFormat="1" applyFont="1" applyFill="1" applyBorder="1" applyAlignment="1">
      <alignment horizontal="center" vertical="center"/>
    </xf>
    <xf numFmtId="165" fontId="44" fillId="11" borderId="49" xfId="1" applyNumberFormat="1" applyFont="1" applyFill="1" applyBorder="1" applyAlignment="1">
      <alignment vertical="center"/>
    </xf>
    <xf numFmtId="166" fontId="44" fillId="11" borderId="1" xfId="1" applyNumberFormat="1" applyFont="1" applyFill="1" applyBorder="1" applyAlignment="1">
      <alignment vertical="center"/>
    </xf>
    <xf numFmtId="166" fontId="44" fillId="7" borderId="1" xfId="1" applyNumberFormat="1" applyFont="1" applyFill="1" applyBorder="1" applyAlignment="1">
      <alignment vertical="center"/>
    </xf>
    <xf numFmtId="0" fontId="44" fillId="7" borderId="24" xfId="0" applyFont="1" applyFill="1" applyBorder="1" applyAlignment="1">
      <alignment vertical="center"/>
    </xf>
    <xf numFmtId="165" fontId="44" fillId="7" borderId="14" xfId="1" applyNumberFormat="1" applyFont="1" applyFill="1" applyBorder="1" applyAlignment="1">
      <alignment vertical="center"/>
    </xf>
    <xf numFmtId="165" fontId="44" fillId="7" borderId="25" xfId="1" applyNumberFormat="1" applyFont="1" applyFill="1" applyBorder="1" applyAlignment="1">
      <alignment vertical="center"/>
    </xf>
    <xf numFmtId="0" fontId="46" fillId="7" borderId="64" xfId="0" applyFont="1" applyFill="1" applyBorder="1" applyAlignment="1">
      <alignment vertical="center"/>
    </xf>
    <xf numFmtId="0" fontId="44" fillId="4" borderId="1" xfId="0" applyFont="1" applyFill="1" applyBorder="1" applyAlignment="1">
      <alignment horizontal="center" vertical="center"/>
    </xf>
    <xf numFmtId="2" fontId="44" fillId="0" borderId="25" xfId="0" applyNumberFormat="1" applyFont="1" applyFill="1" applyBorder="1" applyAlignment="1">
      <alignment horizontal="center" vertical="center"/>
    </xf>
    <xf numFmtId="2" fontId="46" fillId="15" borderId="61" xfId="0" applyNumberFormat="1" applyFont="1" applyFill="1" applyBorder="1" applyAlignment="1">
      <alignment horizontal="center" vertical="center"/>
    </xf>
    <xf numFmtId="0" fontId="44" fillId="0" borderId="47" xfId="0" applyFont="1" applyFill="1" applyBorder="1" applyAlignment="1">
      <alignment horizontal="center" vertical="center"/>
    </xf>
    <xf numFmtId="0" fontId="44" fillId="6" borderId="6" xfId="0" applyFont="1" applyFill="1" applyBorder="1" applyAlignment="1">
      <alignment vertical="center"/>
    </xf>
    <xf numFmtId="171" fontId="44" fillId="0" borderId="2" xfId="0" applyNumberFormat="1" applyFont="1" applyFill="1" applyBorder="1" applyAlignment="1">
      <alignment horizontal="center" vertical="center"/>
    </xf>
    <xf numFmtId="171" fontId="44" fillId="0" borderId="3" xfId="0" applyNumberFormat="1" applyFont="1" applyFill="1" applyBorder="1" applyAlignment="1">
      <alignment horizontal="center" vertical="center" wrapText="1"/>
    </xf>
    <xf numFmtId="0" fontId="44" fillId="0" borderId="6" xfId="0" applyFont="1" applyFill="1" applyBorder="1" applyAlignment="1">
      <alignment horizontal="center" vertical="center" wrapText="1"/>
    </xf>
    <xf numFmtId="0" fontId="44" fillId="0" borderId="6" xfId="0" applyFont="1" applyFill="1" applyBorder="1" applyAlignment="1">
      <alignment vertical="center" wrapText="1"/>
    </xf>
    <xf numFmtId="171" fontId="44" fillId="2" borderId="3" xfId="0" applyNumberFormat="1" applyFont="1" applyFill="1" applyBorder="1" applyAlignment="1">
      <alignment horizontal="center" vertical="center" wrapText="1"/>
    </xf>
    <xf numFmtId="166" fontId="44" fillId="2" borderId="6" xfId="1" applyNumberFormat="1" applyFont="1" applyFill="1" applyBorder="1" applyAlignment="1">
      <alignment vertical="center"/>
    </xf>
    <xf numFmtId="168" fontId="44" fillId="2" borderId="6" xfId="1" applyNumberFormat="1" applyFont="1" applyFill="1" applyBorder="1" applyAlignment="1">
      <alignment vertical="center"/>
    </xf>
    <xf numFmtId="166" fontId="44" fillId="2" borderId="6" xfId="0" applyNumberFormat="1" applyFont="1" applyFill="1" applyBorder="1" applyAlignment="1">
      <alignment horizontal="center" vertical="center"/>
    </xf>
    <xf numFmtId="0" fontId="44" fillId="2" borderId="2" xfId="0" applyFont="1" applyFill="1" applyBorder="1" applyAlignment="1">
      <alignment horizontal="center" vertical="center"/>
    </xf>
    <xf numFmtId="2" fontId="44" fillId="0" borderId="40" xfId="1" applyNumberFormat="1" applyFont="1" applyFill="1" applyBorder="1" applyAlignment="1">
      <alignment horizontal="center" vertical="center"/>
    </xf>
    <xf numFmtId="2" fontId="44" fillId="0" borderId="17" xfId="0" applyNumberFormat="1" applyFont="1" applyFill="1" applyBorder="1" applyAlignment="1">
      <alignment horizontal="center" vertical="center"/>
    </xf>
    <xf numFmtId="2" fontId="44" fillId="0" borderId="18" xfId="0" applyNumberFormat="1" applyFont="1" applyFill="1" applyBorder="1" applyAlignment="1">
      <alignment horizontal="center" vertical="center"/>
    </xf>
    <xf numFmtId="2" fontId="46" fillId="15" borderId="60" xfId="0" applyNumberFormat="1" applyFont="1" applyFill="1" applyBorder="1" applyAlignment="1">
      <alignment horizontal="center" vertical="center"/>
    </xf>
    <xf numFmtId="2" fontId="36" fillId="0" borderId="16" xfId="1" applyNumberFormat="1" applyFont="1" applyFill="1" applyBorder="1" applyAlignment="1">
      <alignment horizontal="center" vertical="center"/>
    </xf>
    <xf numFmtId="2" fontId="46" fillId="15" borderId="64" xfId="0" applyNumberFormat="1" applyFont="1" applyFill="1" applyBorder="1" applyAlignment="1">
      <alignment horizontal="center" vertical="center"/>
    </xf>
    <xf numFmtId="2" fontId="36" fillId="0" borderId="25" xfId="0" applyNumberFormat="1" applyFont="1" applyBorder="1" applyAlignment="1">
      <alignment horizontal="center"/>
    </xf>
    <xf numFmtId="0" fontId="37" fillId="2" borderId="23" xfId="0" applyFont="1" applyFill="1" applyBorder="1"/>
    <xf numFmtId="166" fontId="37" fillId="2" borderId="23" xfId="1" applyNumberFormat="1" applyFont="1" applyFill="1" applyBorder="1"/>
    <xf numFmtId="2" fontId="36" fillId="2" borderId="18" xfId="0" applyNumberFormat="1" applyFont="1" applyFill="1" applyBorder="1" applyAlignment="1">
      <alignment horizontal="center"/>
    </xf>
    <xf numFmtId="0" fontId="44" fillId="0" borderId="40" xfId="0" applyFont="1" applyFill="1" applyBorder="1" applyAlignment="1">
      <alignment horizontal="center" vertical="center"/>
    </xf>
    <xf numFmtId="0" fontId="44" fillId="0" borderId="17" xfId="0" applyFont="1" applyFill="1" applyBorder="1" applyAlignment="1">
      <alignment horizontal="center" vertical="center"/>
    </xf>
    <xf numFmtId="0" fontId="44" fillId="0" borderId="17" xfId="0" applyFont="1" applyBorder="1" applyAlignment="1">
      <alignment vertical="center"/>
    </xf>
    <xf numFmtId="0" fontId="44" fillId="0" borderId="17" xfId="0" applyFont="1" applyFill="1" applyBorder="1" applyAlignment="1">
      <alignment vertical="center"/>
    </xf>
    <xf numFmtId="174" fontId="44" fillId="0" borderId="17" xfId="0" applyNumberFormat="1" applyFont="1" applyBorder="1" applyAlignment="1">
      <alignment horizontal="center" vertical="center"/>
    </xf>
    <xf numFmtId="171" fontId="44" fillId="0" borderId="17" xfId="0" applyNumberFormat="1" applyFont="1" applyFill="1" applyBorder="1" applyAlignment="1">
      <alignment horizontal="center" vertical="center"/>
    </xf>
    <xf numFmtId="171" fontId="44" fillId="0" borderId="17" xfId="0" applyNumberFormat="1" applyFont="1" applyFill="1" applyBorder="1" applyAlignment="1">
      <alignment horizontal="center" vertical="center" wrapText="1"/>
    </xf>
    <xf numFmtId="166" fontId="44" fillId="0" borderId="17" xfId="1" applyNumberFormat="1" applyFont="1" applyFill="1" applyBorder="1" applyAlignment="1">
      <alignment vertical="center"/>
    </xf>
    <xf numFmtId="0" fontId="44" fillId="0" borderId="17" xfId="0" applyFont="1" applyBorder="1" applyAlignment="1">
      <alignment horizontal="center" vertical="center"/>
    </xf>
    <xf numFmtId="2" fontId="44" fillId="0" borderId="17" xfId="1" applyNumberFormat="1" applyFont="1" applyFill="1" applyBorder="1" applyAlignment="1">
      <alignment horizontal="center" vertical="center"/>
    </xf>
    <xf numFmtId="175" fontId="44" fillId="4" borderId="39" xfId="0" applyNumberFormat="1" applyFont="1" applyFill="1" applyBorder="1" applyAlignment="1">
      <alignment horizontal="center" vertical="center"/>
    </xf>
    <xf numFmtId="175" fontId="44" fillId="4" borderId="4" xfId="0" applyNumberFormat="1" applyFont="1" applyFill="1" applyBorder="1" applyAlignment="1">
      <alignment horizontal="center" vertical="center"/>
    </xf>
    <xf numFmtId="165" fontId="44" fillId="7" borderId="24" xfId="1" applyNumberFormat="1" applyFont="1" applyFill="1" applyBorder="1" applyAlignment="1">
      <alignment vertical="center"/>
    </xf>
    <xf numFmtId="2" fontId="44" fillId="0" borderId="41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6" fillId="1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65" fontId="3" fillId="0" borderId="6" xfId="1" applyNumberFormat="1" applyFont="1" applyBorder="1" applyAlignment="1">
      <alignment horizontal="center" vertical="center"/>
    </xf>
    <xf numFmtId="165" fontId="3" fillId="0" borderId="7" xfId="1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5" fontId="12" fillId="0" borderId="1" xfId="1" applyNumberFormat="1" applyFont="1" applyBorder="1" applyAlignment="1">
      <alignment horizontal="center" textRotation="90"/>
    </xf>
    <xf numFmtId="165" fontId="3" fillId="0" borderId="1" xfId="1" applyNumberFormat="1" applyFont="1" applyBorder="1" applyAlignment="1">
      <alignment horizontal="center" textRotation="9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0" fillId="8" borderId="8" xfId="0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45"/>
    </xf>
    <xf numFmtId="0" fontId="3" fillId="6" borderId="1" xfId="0" applyFont="1" applyFill="1" applyBorder="1" applyAlignment="1">
      <alignment horizontal="center" vertical="center" textRotation="45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textRotation="90"/>
    </xf>
    <xf numFmtId="0" fontId="3" fillId="0" borderId="1" xfId="0" applyFont="1" applyBorder="1" applyAlignment="1">
      <alignment horizontal="center" wrapText="1"/>
    </xf>
    <xf numFmtId="165" fontId="3" fillId="5" borderId="1" xfId="1" applyNumberFormat="1" applyFont="1" applyFill="1" applyBorder="1" applyAlignment="1">
      <alignment horizontal="center" textRotation="90"/>
    </xf>
    <xf numFmtId="0" fontId="4" fillId="0" borderId="1" xfId="0" applyFont="1" applyBorder="1" applyAlignment="1">
      <alignment horizontal="center"/>
    </xf>
    <xf numFmtId="166" fontId="4" fillId="0" borderId="1" xfId="1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textRotation="90" wrapText="1"/>
    </xf>
    <xf numFmtId="0" fontId="3" fillId="2" borderId="7" xfId="0" applyFont="1" applyFill="1" applyBorder="1" applyAlignment="1">
      <alignment horizontal="center" vertical="center" textRotation="90" wrapText="1"/>
    </xf>
    <xf numFmtId="165" fontId="3" fillId="2" borderId="1" xfId="1" applyNumberFormat="1" applyFont="1" applyFill="1" applyBorder="1" applyAlignment="1">
      <alignment horizontal="center" vertical="center" textRotation="90"/>
    </xf>
    <xf numFmtId="0" fontId="21" fillId="0" borderId="8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165" fontId="21" fillId="0" borderId="6" xfId="1" applyNumberFormat="1" applyFont="1" applyBorder="1" applyAlignment="1">
      <alignment horizontal="center" vertical="center"/>
    </xf>
    <xf numFmtId="165" fontId="21" fillId="0" borderId="36" xfId="1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31" fillId="10" borderId="19" xfId="0" applyFont="1" applyFill="1" applyBorder="1" applyAlignment="1">
      <alignment horizontal="center" vertical="center"/>
    </xf>
    <xf numFmtId="0" fontId="31" fillId="10" borderId="20" xfId="0" applyFont="1" applyFill="1" applyBorder="1" applyAlignment="1">
      <alignment horizontal="center" vertical="center"/>
    </xf>
    <xf numFmtId="0" fontId="31" fillId="10" borderId="26" xfId="0" applyFont="1" applyFill="1" applyBorder="1" applyAlignment="1">
      <alignment horizontal="center" vertical="center"/>
    </xf>
    <xf numFmtId="0" fontId="31" fillId="10" borderId="21" xfId="0" applyFont="1" applyFill="1" applyBorder="1" applyAlignment="1">
      <alignment horizontal="center" vertical="center"/>
    </xf>
    <xf numFmtId="0" fontId="31" fillId="10" borderId="0" xfId="0" applyFont="1" applyFill="1" applyBorder="1" applyAlignment="1">
      <alignment horizontal="center" vertical="center"/>
    </xf>
    <xf numFmtId="0" fontId="31" fillId="10" borderId="9" xfId="0" applyFont="1" applyFill="1" applyBorder="1" applyAlignment="1">
      <alignment horizontal="center" vertical="center"/>
    </xf>
    <xf numFmtId="0" fontId="31" fillId="10" borderId="22" xfId="0" applyFont="1" applyFill="1" applyBorder="1" applyAlignment="1">
      <alignment horizontal="center" vertical="center"/>
    </xf>
    <xf numFmtId="0" fontId="31" fillId="10" borderId="23" xfId="0" applyFont="1" applyFill="1" applyBorder="1" applyAlignment="1">
      <alignment horizontal="center" vertical="center"/>
    </xf>
    <xf numFmtId="0" fontId="31" fillId="10" borderId="27" xfId="0" applyFont="1" applyFill="1" applyBorder="1" applyAlignment="1">
      <alignment horizontal="center" vertical="center"/>
    </xf>
    <xf numFmtId="165" fontId="13" fillId="0" borderId="15" xfId="1" applyNumberFormat="1" applyFont="1" applyFill="1" applyBorder="1" applyAlignment="1">
      <alignment horizontal="center" vertical="center" textRotation="90" wrapText="1"/>
    </xf>
    <xf numFmtId="165" fontId="13" fillId="0" borderId="1" xfId="1" applyNumberFormat="1" applyFont="1" applyFill="1" applyBorder="1" applyAlignment="1">
      <alignment horizontal="center" vertical="center" textRotation="90" wrapText="1"/>
    </xf>
    <xf numFmtId="165" fontId="13" fillId="0" borderId="17" xfId="1" applyNumberFormat="1" applyFont="1" applyFill="1" applyBorder="1" applyAlignment="1">
      <alignment horizontal="center" vertical="center" textRotation="90" wrapText="1"/>
    </xf>
    <xf numFmtId="0" fontId="13" fillId="0" borderId="15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23" fillId="0" borderId="30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166" fontId="13" fillId="0" borderId="1" xfId="1" applyNumberFormat="1" applyFont="1" applyBorder="1" applyAlignment="1">
      <alignment horizontal="center"/>
    </xf>
    <xf numFmtId="166" fontId="13" fillId="0" borderId="17" xfId="1" applyNumberFormat="1" applyFont="1" applyBorder="1" applyAlignment="1">
      <alignment horizontal="center"/>
    </xf>
    <xf numFmtId="0" fontId="24" fillId="8" borderId="8" xfId="0" applyFont="1" applyFill="1" applyBorder="1" applyAlignment="1">
      <alignment horizontal="center" vertical="center"/>
    </xf>
    <xf numFmtId="0" fontId="24" fillId="8" borderId="9" xfId="0" applyFont="1" applyFill="1" applyBorder="1" applyAlignment="1">
      <alignment horizontal="center" vertical="center"/>
    </xf>
    <xf numFmtId="0" fontId="24" fillId="8" borderId="4" xfId="0" applyFont="1" applyFill="1" applyBorder="1" applyAlignment="1">
      <alignment horizontal="center" vertical="center"/>
    </xf>
    <xf numFmtId="0" fontId="24" fillId="8" borderId="5" xfId="0" applyFont="1" applyFill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7" xfId="0" applyFont="1" applyBorder="1" applyAlignment="1">
      <alignment horizontal="center" vertical="center" textRotation="90" wrapText="1"/>
    </xf>
    <xf numFmtId="0" fontId="21" fillId="0" borderId="6" xfId="0" applyFont="1" applyFill="1" applyBorder="1" applyAlignment="1">
      <alignment horizontal="center" vertical="center"/>
    </xf>
    <xf numFmtId="0" fontId="21" fillId="0" borderId="36" xfId="0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165" fontId="22" fillId="0" borderId="15" xfId="1" applyNumberFormat="1" applyFont="1" applyFill="1" applyBorder="1" applyAlignment="1">
      <alignment horizontal="center" vertical="center" textRotation="90"/>
    </xf>
    <xf numFmtId="165" fontId="22" fillId="0" borderId="1" xfId="1" applyNumberFormat="1" applyFont="1" applyFill="1" applyBorder="1" applyAlignment="1">
      <alignment horizontal="center" vertical="center" textRotation="90"/>
    </xf>
    <xf numFmtId="165" fontId="22" fillId="0" borderId="17" xfId="1" applyNumberFormat="1" applyFont="1" applyFill="1" applyBorder="1" applyAlignment="1">
      <alignment horizontal="center" vertical="center" textRotation="90"/>
    </xf>
    <xf numFmtId="0" fontId="13" fillId="6" borderId="1" xfId="0" applyFont="1" applyFill="1" applyBorder="1" applyAlignment="1">
      <alignment horizontal="center" vertical="center" textRotation="45" wrapText="1"/>
    </xf>
    <xf numFmtId="0" fontId="13" fillId="6" borderId="17" xfId="0" applyFont="1" applyFill="1" applyBorder="1" applyAlignment="1">
      <alignment horizontal="center" vertical="center" textRotation="45" wrapText="1"/>
    </xf>
    <xf numFmtId="0" fontId="13" fillId="0" borderId="15" xfId="0" applyFont="1" applyFill="1" applyBorder="1" applyAlignment="1">
      <alignment horizontal="center" vertical="center" textRotation="90" wrapText="1"/>
    </xf>
    <xf numFmtId="0" fontId="13" fillId="0" borderId="1" xfId="0" applyFont="1" applyFill="1" applyBorder="1" applyAlignment="1">
      <alignment horizontal="center" vertical="center" textRotation="90" wrapText="1"/>
    </xf>
    <xf numFmtId="0" fontId="13" fillId="0" borderId="17" xfId="0" applyFont="1" applyFill="1" applyBorder="1" applyAlignment="1">
      <alignment horizontal="center" vertical="center" textRotation="90" wrapText="1"/>
    </xf>
    <xf numFmtId="0" fontId="13" fillId="0" borderId="29" xfId="0" applyFont="1" applyFill="1" applyBorder="1" applyAlignment="1">
      <alignment horizontal="center" vertical="center" textRotation="90" wrapText="1"/>
    </xf>
    <xf numFmtId="0" fontId="13" fillId="0" borderId="12" xfId="0" applyFont="1" applyFill="1" applyBorder="1" applyAlignment="1">
      <alignment horizontal="center" vertical="center" textRotation="90" wrapText="1"/>
    </xf>
    <xf numFmtId="0" fontId="13" fillId="0" borderId="36" xfId="0" applyFont="1" applyFill="1" applyBorder="1" applyAlignment="1">
      <alignment horizontal="center" vertical="center" textRotation="90" wrapText="1"/>
    </xf>
    <xf numFmtId="165" fontId="13" fillId="0" borderId="29" xfId="1" applyNumberFormat="1" applyFont="1" applyFill="1" applyBorder="1" applyAlignment="1">
      <alignment horizontal="center" vertical="center" textRotation="90"/>
    </xf>
    <xf numFmtId="165" fontId="13" fillId="0" borderId="12" xfId="1" applyNumberFormat="1" applyFont="1" applyFill="1" applyBorder="1" applyAlignment="1">
      <alignment horizontal="center" vertical="center" textRotation="90"/>
    </xf>
    <xf numFmtId="165" fontId="13" fillId="0" borderId="36" xfId="1" applyNumberFormat="1" applyFont="1" applyFill="1" applyBorder="1" applyAlignment="1">
      <alignment horizontal="center" vertical="center" textRotation="90"/>
    </xf>
    <xf numFmtId="0" fontId="30" fillId="0" borderId="0" xfId="0" applyFont="1" applyAlignment="1">
      <alignment horizontal="center"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textRotation="45"/>
    </xf>
    <xf numFmtId="0" fontId="22" fillId="0" borderId="17" xfId="0" applyFont="1" applyBorder="1" applyAlignment="1">
      <alignment horizontal="center" vertical="center" textRotation="45"/>
    </xf>
    <xf numFmtId="0" fontId="13" fillId="0" borderId="1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textRotation="90" wrapText="1"/>
    </xf>
    <xf numFmtId="0" fontId="40" fillId="14" borderId="12" xfId="0" applyFont="1" applyFill="1" applyBorder="1" applyAlignment="1">
      <alignment horizontal="center" vertical="center" textRotation="90" wrapText="1"/>
    </xf>
    <xf numFmtId="0" fontId="40" fillId="14" borderId="7" xfId="0" applyFont="1" applyFill="1" applyBorder="1" applyAlignment="1">
      <alignment horizontal="center" vertical="center" textRotation="90" wrapText="1"/>
    </xf>
    <xf numFmtId="0" fontId="40" fillId="14" borderId="24" xfId="0" applyFont="1" applyFill="1" applyBorder="1" applyAlignment="1">
      <alignment horizontal="center" vertical="center" wrapText="1"/>
    </xf>
    <xf numFmtId="0" fontId="40" fillId="14" borderId="49" xfId="0" applyFont="1" applyFill="1" applyBorder="1" applyAlignment="1">
      <alignment horizontal="center" vertical="center" wrapText="1"/>
    </xf>
    <xf numFmtId="0" fontId="40" fillId="14" borderId="2" xfId="0" applyFont="1" applyFill="1" applyBorder="1" applyAlignment="1">
      <alignment horizontal="center" vertical="center" textRotation="90" wrapText="1"/>
    </xf>
    <xf numFmtId="0" fontId="40" fillId="14" borderId="3" xfId="0" applyFont="1" applyFill="1" applyBorder="1" applyAlignment="1">
      <alignment horizontal="center" vertical="center" textRotation="90" wrapText="1"/>
    </xf>
    <xf numFmtId="0" fontId="40" fillId="14" borderId="8" xfId="0" applyFont="1" applyFill="1" applyBorder="1" applyAlignment="1">
      <alignment horizontal="center" vertical="center" textRotation="90" wrapText="1"/>
    </xf>
    <xf numFmtId="0" fontId="40" fillId="14" borderId="9" xfId="0" applyFont="1" applyFill="1" applyBorder="1" applyAlignment="1">
      <alignment horizontal="center" vertical="center" textRotation="90" wrapText="1"/>
    </xf>
    <xf numFmtId="0" fontId="40" fillId="14" borderId="4" xfId="0" applyFont="1" applyFill="1" applyBorder="1" applyAlignment="1">
      <alignment horizontal="center" vertical="center" textRotation="90" wrapText="1"/>
    </xf>
    <xf numFmtId="0" fontId="40" fillId="14" borderId="5" xfId="0" applyFont="1" applyFill="1" applyBorder="1" applyAlignment="1">
      <alignment horizontal="center" vertical="center" textRotation="90" wrapText="1"/>
    </xf>
    <xf numFmtId="0" fontId="49" fillId="0" borderId="0" xfId="0" applyFont="1" applyAlignment="1">
      <alignment horizontal="center" vertical="center"/>
    </xf>
    <xf numFmtId="0" fontId="41" fillId="0" borderId="16" xfId="0" applyFont="1" applyBorder="1" applyAlignment="1">
      <alignment horizontal="center" vertical="center" textRotation="90"/>
    </xf>
    <xf numFmtId="0" fontId="41" fillId="0" borderId="25" xfId="0" applyFont="1" applyBorder="1" applyAlignment="1">
      <alignment horizontal="center" vertical="center" textRotation="90"/>
    </xf>
    <xf numFmtId="0" fontId="40" fillId="14" borderId="47" xfId="0" applyFont="1" applyFill="1" applyBorder="1" applyAlignment="1">
      <alignment horizontal="center" vertical="center" textRotation="90" wrapText="1"/>
    </xf>
    <xf numFmtId="0" fontId="40" fillId="14" borderId="32" xfId="0" applyFont="1" applyFill="1" applyBorder="1" applyAlignment="1">
      <alignment horizontal="center" vertical="center" textRotation="90" wrapText="1"/>
    </xf>
    <xf numFmtId="0" fontId="40" fillId="14" borderId="13" xfId="0" applyFont="1" applyFill="1" applyBorder="1" applyAlignment="1">
      <alignment horizontal="center" vertical="center" textRotation="90" wrapText="1"/>
    </xf>
    <xf numFmtId="0" fontId="40" fillId="8" borderId="2" xfId="0" applyFont="1" applyFill="1" applyBorder="1" applyAlignment="1">
      <alignment horizontal="center" vertical="center" textRotation="90" wrapText="1"/>
    </xf>
    <xf numFmtId="0" fontId="40" fillId="8" borderId="56" xfId="0" applyFont="1" applyFill="1" applyBorder="1" applyAlignment="1">
      <alignment horizontal="center" vertical="center" textRotation="90" wrapText="1"/>
    </xf>
    <xf numFmtId="0" fontId="40" fillId="8" borderId="8" xfId="0" applyFont="1" applyFill="1" applyBorder="1" applyAlignment="1">
      <alignment horizontal="center" vertical="center" textRotation="90" wrapText="1"/>
    </xf>
    <xf numFmtId="0" fontId="40" fillId="8" borderId="33" xfId="0" applyFont="1" applyFill="1" applyBorder="1" applyAlignment="1">
      <alignment horizontal="center" vertical="center" textRotation="90" wrapText="1"/>
    </xf>
    <xf numFmtId="0" fontId="40" fillId="8" borderId="4" xfId="0" applyFont="1" applyFill="1" applyBorder="1" applyAlignment="1">
      <alignment horizontal="center" vertical="center" textRotation="90" wrapText="1"/>
    </xf>
    <xf numFmtId="0" fontId="40" fillId="8" borderId="34" xfId="0" applyFont="1" applyFill="1" applyBorder="1" applyAlignment="1">
      <alignment horizontal="center" vertical="center" textRotation="90" wrapText="1"/>
    </xf>
    <xf numFmtId="0" fontId="40" fillId="18" borderId="2" xfId="0" applyFont="1" applyFill="1" applyBorder="1" applyAlignment="1">
      <alignment horizontal="center" vertical="center" textRotation="90" wrapText="1"/>
    </xf>
    <xf numFmtId="0" fontId="40" fillId="18" borderId="3" xfId="0" applyFont="1" applyFill="1" applyBorder="1" applyAlignment="1">
      <alignment horizontal="center" vertical="center" textRotation="90" wrapText="1"/>
    </xf>
    <xf numFmtId="0" fontId="40" fillId="18" borderId="8" xfId="0" applyFont="1" applyFill="1" applyBorder="1" applyAlignment="1">
      <alignment horizontal="center" vertical="center" textRotation="90" wrapText="1"/>
    </xf>
    <xf numFmtId="0" fontId="40" fillId="18" borderId="9" xfId="0" applyFont="1" applyFill="1" applyBorder="1" applyAlignment="1">
      <alignment horizontal="center" vertical="center" textRotation="90" wrapText="1"/>
    </xf>
    <xf numFmtId="0" fontId="40" fillId="18" borderId="4" xfId="0" applyFont="1" applyFill="1" applyBorder="1" applyAlignment="1">
      <alignment horizontal="center" vertical="center" textRotation="90" wrapText="1"/>
    </xf>
    <xf numFmtId="0" fontId="40" fillId="18" borderId="5" xfId="0" applyFont="1" applyFill="1" applyBorder="1" applyAlignment="1">
      <alignment horizontal="center" vertical="center" textRotation="90" wrapText="1"/>
    </xf>
    <xf numFmtId="0" fontId="40" fillId="17" borderId="2" xfId="0" applyFont="1" applyFill="1" applyBorder="1" applyAlignment="1">
      <alignment horizontal="center" vertical="center" textRotation="90" wrapText="1"/>
    </xf>
    <xf numFmtId="0" fontId="40" fillId="17" borderId="3" xfId="0" applyFont="1" applyFill="1" applyBorder="1" applyAlignment="1">
      <alignment horizontal="center" vertical="center" textRotation="90" wrapText="1"/>
    </xf>
    <xf numFmtId="0" fontId="40" fillId="17" borderId="8" xfId="0" applyFont="1" applyFill="1" applyBorder="1" applyAlignment="1">
      <alignment horizontal="center" vertical="center" textRotation="90" wrapText="1"/>
    </xf>
    <xf numFmtId="0" fontId="40" fillId="17" borderId="9" xfId="0" applyFont="1" applyFill="1" applyBorder="1" applyAlignment="1">
      <alignment horizontal="center" vertical="center" textRotation="90" wrapText="1"/>
    </xf>
    <xf numFmtId="0" fontId="40" fillId="17" borderId="4" xfId="0" applyFont="1" applyFill="1" applyBorder="1" applyAlignment="1">
      <alignment horizontal="center" vertical="center" textRotation="90" wrapText="1"/>
    </xf>
    <xf numFmtId="0" fontId="40" fillId="17" borderId="5" xfId="0" applyFont="1" applyFill="1" applyBorder="1" applyAlignment="1">
      <alignment horizontal="center" vertical="center" textRotation="90" wrapText="1"/>
    </xf>
    <xf numFmtId="0" fontId="40" fillId="3" borderId="2" xfId="0" applyFont="1" applyFill="1" applyBorder="1" applyAlignment="1">
      <alignment horizontal="center" vertical="center" textRotation="90" wrapText="1"/>
    </xf>
    <xf numFmtId="0" fontId="40" fillId="3" borderId="3" xfId="0" applyFont="1" applyFill="1" applyBorder="1" applyAlignment="1">
      <alignment horizontal="center" vertical="center" textRotation="90" wrapText="1"/>
    </xf>
    <xf numFmtId="0" fontId="40" fillId="3" borderId="8" xfId="0" applyFont="1" applyFill="1" applyBorder="1" applyAlignment="1">
      <alignment horizontal="center" vertical="center" textRotation="90" wrapText="1"/>
    </xf>
    <xf numFmtId="0" fontId="40" fillId="3" borderId="9" xfId="0" applyFont="1" applyFill="1" applyBorder="1" applyAlignment="1">
      <alignment horizontal="center" vertical="center" textRotation="90" wrapText="1"/>
    </xf>
    <xf numFmtId="0" fontId="40" fillId="3" borderId="4" xfId="0" applyFont="1" applyFill="1" applyBorder="1" applyAlignment="1">
      <alignment horizontal="center" vertical="center" textRotation="90" wrapText="1"/>
    </xf>
    <xf numFmtId="0" fontId="40" fillId="3" borderId="5" xfId="0" applyFont="1" applyFill="1" applyBorder="1" applyAlignment="1">
      <alignment horizontal="center" vertical="center" textRotation="90" wrapText="1"/>
    </xf>
    <xf numFmtId="0" fontId="40" fillId="14" borderId="51" xfId="0" applyFont="1" applyFill="1" applyBorder="1" applyAlignment="1">
      <alignment horizontal="center" vertical="center" wrapText="1"/>
    </xf>
    <xf numFmtId="0" fontId="40" fillId="14" borderId="52" xfId="0" applyFont="1" applyFill="1" applyBorder="1" applyAlignment="1">
      <alignment horizontal="center" vertical="center" wrapText="1"/>
    </xf>
    <xf numFmtId="0" fontId="40" fillId="14" borderId="53" xfId="0" applyFont="1" applyFill="1" applyBorder="1" applyAlignment="1">
      <alignment horizontal="center" vertical="center" wrapText="1"/>
    </xf>
    <xf numFmtId="0" fontId="41" fillId="0" borderId="51" xfId="0" applyFont="1" applyBorder="1" applyAlignment="1">
      <alignment horizontal="center" vertical="center" textRotation="90"/>
    </xf>
    <xf numFmtId="0" fontId="41" fillId="0" borderId="52" xfId="0" applyFont="1" applyBorder="1" applyAlignment="1">
      <alignment horizontal="center" vertical="center" textRotation="90"/>
    </xf>
    <xf numFmtId="0" fontId="41" fillId="0" borderId="53" xfId="0" applyFont="1" applyBorder="1" applyAlignment="1">
      <alignment horizontal="center" vertical="center" textRotation="90"/>
    </xf>
    <xf numFmtId="0" fontId="41" fillId="0" borderId="51" xfId="0" applyFont="1" applyBorder="1" applyAlignment="1">
      <alignment horizontal="center" vertical="center" wrapText="1"/>
    </xf>
    <xf numFmtId="0" fontId="41" fillId="0" borderId="53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 textRotation="90" wrapText="1"/>
    </xf>
    <xf numFmtId="0" fontId="41" fillId="0" borderId="53" xfId="0" applyFont="1" applyBorder="1" applyAlignment="1">
      <alignment horizontal="center" vertical="center" textRotation="90" wrapText="1"/>
    </xf>
    <xf numFmtId="0" fontId="41" fillId="0" borderId="25" xfId="0" applyFont="1" applyBorder="1" applyAlignment="1">
      <alignment horizontal="center" vertical="center" textRotation="90" wrapText="1"/>
    </xf>
    <xf numFmtId="0" fontId="40" fillId="16" borderId="68" xfId="0" applyFont="1" applyFill="1" applyBorder="1" applyAlignment="1">
      <alignment horizontal="center" vertical="center"/>
    </xf>
    <xf numFmtId="0" fontId="40" fillId="16" borderId="54" xfId="0" applyFont="1" applyFill="1" applyBorder="1" applyAlignment="1">
      <alignment horizontal="center" vertical="center"/>
    </xf>
    <xf numFmtId="0" fontId="40" fillId="16" borderId="49" xfId="0" applyFont="1" applyFill="1" applyBorder="1" applyAlignment="1">
      <alignment horizontal="center" vertical="center"/>
    </xf>
    <xf numFmtId="0" fontId="40" fillId="14" borderId="68" xfId="0" applyFont="1" applyFill="1" applyBorder="1" applyAlignment="1">
      <alignment horizontal="center" vertical="center"/>
    </xf>
    <xf numFmtId="0" fontId="40" fillId="14" borderId="54" xfId="0" applyFont="1" applyFill="1" applyBorder="1" applyAlignment="1">
      <alignment horizontal="center" vertical="center"/>
    </xf>
    <xf numFmtId="0" fontId="40" fillId="14" borderId="49" xfId="0" applyFont="1" applyFill="1" applyBorder="1" applyAlignment="1">
      <alignment horizontal="center" vertical="center"/>
    </xf>
    <xf numFmtId="0" fontId="40" fillId="14" borderId="69" xfId="0" applyFont="1" applyFill="1" applyBorder="1" applyAlignment="1">
      <alignment horizontal="center" vertical="center"/>
    </xf>
    <xf numFmtId="0" fontId="40" fillId="14" borderId="59" xfId="0" applyFont="1" applyFill="1" applyBorder="1" applyAlignment="1">
      <alignment horizontal="center" vertical="center"/>
    </xf>
    <xf numFmtId="0" fontId="40" fillId="14" borderId="50" xfId="0" applyFont="1" applyFill="1" applyBorder="1" applyAlignment="1">
      <alignment horizontal="center" vertical="center"/>
    </xf>
    <xf numFmtId="0" fontId="40" fillId="14" borderId="28" xfId="0" applyFont="1" applyFill="1" applyBorder="1" applyAlignment="1">
      <alignment horizontal="center" vertical="center" wrapText="1"/>
    </xf>
    <xf numFmtId="0" fontId="40" fillId="14" borderId="32" xfId="0" applyFont="1" applyFill="1" applyBorder="1" applyAlignment="1">
      <alignment horizontal="center" vertical="center" wrapText="1"/>
    </xf>
    <xf numFmtId="0" fontId="40" fillId="14" borderId="13" xfId="0" applyFont="1" applyFill="1" applyBorder="1" applyAlignment="1">
      <alignment horizontal="center" vertical="center" wrapText="1"/>
    </xf>
    <xf numFmtId="0" fontId="40" fillId="14" borderId="28" xfId="0" applyFont="1" applyFill="1" applyBorder="1" applyAlignment="1">
      <alignment horizontal="center" vertical="center" textRotation="90" wrapText="1"/>
    </xf>
    <xf numFmtId="0" fontId="40" fillId="14" borderId="30" xfId="0" applyFont="1" applyFill="1" applyBorder="1" applyAlignment="1">
      <alignment horizontal="center" vertical="center" textRotation="90" wrapText="1"/>
    </xf>
    <xf numFmtId="0" fontId="40" fillId="14" borderId="26" xfId="0" applyFont="1" applyFill="1" applyBorder="1" applyAlignment="1">
      <alignment horizontal="center" vertical="center" textRotation="90" wrapText="1"/>
    </xf>
    <xf numFmtId="0" fontId="40" fillId="14" borderId="29" xfId="0" applyFont="1" applyFill="1" applyBorder="1" applyAlignment="1">
      <alignment horizontal="center" vertical="center" textRotation="90" wrapText="1"/>
    </xf>
    <xf numFmtId="0" fontId="40" fillId="14" borderId="15" xfId="0" applyFont="1" applyFill="1" applyBorder="1" applyAlignment="1">
      <alignment horizontal="center" vertical="center" wrapText="1"/>
    </xf>
    <xf numFmtId="0" fontId="40" fillId="3" borderId="30" xfId="0" applyFont="1" applyFill="1" applyBorder="1" applyAlignment="1">
      <alignment horizontal="center" vertical="center" textRotation="90" wrapText="1"/>
    </xf>
    <xf numFmtId="0" fontId="40" fillId="3" borderId="26" xfId="0" applyFont="1" applyFill="1" applyBorder="1" applyAlignment="1">
      <alignment horizontal="center" vertical="center" textRotation="90" wrapText="1"/>
    </xf>
    <xf numFmtId="0" fontId="40" fillId="17" borderId="30" xfId="0" applyFont="1" applyFill="1" applyBorder="1" applyAlignment="1">
      <alignment horizontal="center" vertical="center" textRotation="90" wrapText="1"/>
    </xf>
    <xf numFmtId="0" fontId="40" fillId="17" borderId="26" xfId="0" applyFont="1" applyFill="1" applyBorder="1" applyAlignment="1">
      <alignment horizontal="center" vertical="center" textRotation="90" wrapText="1"/>
    </xf>
    <xf numFmtId="0" fontId="40" fillId="18" borderId="30" xfId="0" applyFont="1" applyFill="1" applyBorder="1" applyAlignment="1">
      <alignment horizontal="center" vertical="center" textRotation="90" wrapText="1"/>
    </xf>
    <xf numFmtId="0" fontId="40" fillId="18" borderId="26" xfId="0" applyFont="1" applyFill="1" applyBorder="1" applyAlignment="1">
      <alignment horizontal="center" vertical="center" textRotation="90" wrapText="1"/>
    </xf>
    <xf numFmtId="0" fontId="40" fillId="8" borderId="30" xfId="0" applyFont="1" applyFill="1" applyBorder="1" applyAlignment="1">
      <alignment horizontal="center" vertical="center" textRotation="90" wrapText="1"/>
    </xf>
    <xf numFmtId="0" fontId="40" fillId="8" borderId="20" xfId="0" applyFont="1" applyFill="1" applyBorder="1" applyAlignment="1">
      <alignment horizontal="center" vertical="center" textRotation="90" wrapText="1"/>
    </xf>
    <xf numFmtId="0" fontId="40" fillId="8" borderId="0" xfId="0" applyFont="1" applyFill="1" applyBorder="1" applyAlignment="1">
      <alignment horizontal="center" vertical="center" textRotation="90" wrapText="1"/>
    </xf>
    <xf numFmtId="0" fontId="40" fillId="8" borderId="11" xfId="0" applyFont="1" applyFill="1" applyBorder="1" applyAlignment="1">
      <alignment horizontal="center" vertical="center" textRotation="90" wrapText="1"/>
    </xf>
    <xf numFmtId="0" fontId="40" fillId="14" borderId="40" xfId="0" applyFont="1" applyFill="1" applyBorder="1" applyAlignment="1">
      <alignment horizontal="center" vertical="center"/>
    </xf>
    <xf numFmtId="0" fontId="40" fillId="14" borderId="17" xfId="0" applyFont="1" applyFill="1" applyBorder="1" applyAlignment="1">
      <alignment horizontal="center" vertical="center"/>
    </xf>
    <xf numFmtId="0" fontId="36" fillId="4" borderId="68" xfId="0" applyFont="1" applyFill="1" applyBorder="1" applyAlignment="1">
      <alignment horizontal="center" vertical="center"/>
    </xf>
    <xf numFmtId="0" fontId="36" fillId="4" borderId="54" xfId="0" applyFont="1" applyFill="1" applyBorder="1" applyAlignment="1">
      <alignment horizontal="center" vertical="center"/>
    </xf>
    <xf numFmtId="0" fontId="36" fillId="4" borderId="56" xfId="0" applyFont="1" applyFill="1" applyBorder="1" applyAlignment="1">
      <alignment horizontal="center" vertical="center"/>
    </xf>
    <xf numFmtId="0" fontId="42" fillId="15" borderId="66" xfId="0" applyFont="1" applyFill="1" applyBorder="1" applyAlignment="1">
      <alignment horizontal="center" vertical="center" textRotation="90"/>
    </xf>
    <xf numFmtId="0" fontId="42" fillId="15" borderId="67" xfId="0" applyFont="1" applyFill="1" applyBorder="1" applyAlignment="1">
      <alignment horizontal="center" vertical="center" textRotation="90"/>
    </xf>
    <xf numFmtId="0" fontId="52" fillId="8" borderId="24" xfId="0" applyFont="1" applyFill="1" applyBorder="1" applyAlignment="1">
      <alignment horizontal="center" vertical="center"/>
    </xf>
    <xf numFmtId="0" fontId="36" fillId="0" borderId="24" xfId="0" applyFont="1" applyBorder="1" applyAlignment="1">
      <alignment horizontal="center" vertical="center"/>
    </xf>
    <xf numFmtId="0" fontId="52" fillId="8" borderId="14" xfId="0" applyFont="1" applyFill="1" applyBorder="1" applyAlignment="1">
      <alignment horizontal="center" vertical="center"/>
    </xf>
    <xf numFmtId="0" fontId="52" fillId="8" borderId="1" xfId="0" applyFont="1" applyFill="1" applyBorder="1" applyAlignment="1">
      <alignment horizontal="center" vertical="center"/>
    </xf>
    <xf numFmtId="0" fontId="36" fillId="0" borderId="14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53" fillId="10" borderId="19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0" fontId="53" fillId="10" borderId="21" xfId="0" applyFont="1" applyFill="1" applyBorder="1" applyAlignment="1">
      <alignment horizontal="center" vertical="center"/>
    </xf>
    <xf numFmtId="0" fontId="53" fillId="10" borderId="0" xfId="0" applyFont="1" applyFill="1" applyBorder="1" applyAlignment="1">
      <alignment horizontal="center" vertical="center"/>
    </xf>
    <xf numFmtId="0" fontId="53" fillId="10" borderId="22" xfId="0" applyFont="1" applyFill="1" applyBorder="1" applyAlignment="1">
      <alignment horizontal="center" vertical="center"/>
    </xf>
    <xf numFmtId="0" fontId="53" fillId="10" borderId="23" xfId="0" applyFont="1" applyFill="1" applyBorder="1" applyAlignment="1">
      <alignment horizontal="center" vertical="center"/>
    </xf>
    <xf numFmtId="166" fontId="48" fillId="0" borderId="1" xfId="1" applyNumberFormat="1" applyFont="1" applyBorder="1" applyAlignment="1">
      <alignment horizontal="center" vertical="center"/>
    </xf>
    <xf numFmtId="166" fontId="48" fillId="0" borderId="17" xfId="1" applyNumberFormat="1" applyFont="1" applyBorder="1" applyAlignment="1">
      <alignment horizontal="center" vertical="center"/>
    </xf>
    <xf numFmtId="0" fontId="50" fillId="0" borderId="1" xfId="0" applyFont="1" applyBorder="1" applyAlignment="1">
      <alignment horizontal="center" vertical="center" textRotation="45"/>
    </xf>
    <xf numFmtId="0" fontId="50" fillId="0" borderId="17" xfId="0" applyFont="1" applyBorder="1" applyAlignment="1">
      <alignment horizontal="center" vertical="center" textRotation="45"/>
    </xf>
    <xf numFmtId="0" fontId="48" fillId="6" borderId="1" xfId="0" applyFont="1" applyFill="1" applyBorder="1" applyAlignment="1">
      <alignment horizontal="center" vertical="center" textRotation="45" wrapText="1"/>
    </xf>
    <xf numFmtId="0" fontId="48" fillId="6" borderId="17" xfId="0" applyFont="1" applyFill="1" applyBorder="1" applyAlignment="1">
      <alignment horizontal="center" vertical="center" textRotation="45" wrapText="1"/>
    </xf>
    <xf numFmtId="0" fontId="48" fillId="0" borderId="1" xfId="0" applyFont="1" applyBorder="1" applyAlignment="1">
      <alignment horizontal="center" vertical="center"/>
    </xf>
    <xf numFmtId="0" fontId="48" fillId="0" borderId="17" xfId="0" applyFont="1" applyBorder="1" applyAlignment="1">
      <alignment horizontal="center" vertical="center"/>
    </xf>
    <xf numFmtId="165" fontId="48" fillId="0" borderId="15" xfId="1" applyNumberFormat="1" applyFont="1" applyFill="1" applyBorder="1" applyAlignment="1">
      <alignment horizontal="center" vertical="center" textRotation="90" wrapText="1"/>
    </xf>
    <xf numFmtId="165" fontId="48" fillId="0" borderId="1" xfId="1" applyNumberFormat="1" applyFont="1" applyFill="1" applyBorder="1" applyAlignment="1">
      <alignment horizontal="center" vertical="center" textRotation="90" wrapText="1"/>
    </xf>
    <xf numFmtId="165" fontId="48" fillId="0" borderId="17" xfId="1" applyNumberFormat="1" applyFont="1" applyFill="1" applyBorder="1" applyAlignment="1">
      <alignment horizontal="center" vertical="center" textRotation="90" wrapText="1"/>
    </xf>
    <xf numFmtId="0" fontId="48" fillId="0" borderId="15" xfId="0" applyFont="1" applyFill="1" applyBorder="1" applyAlignment="1">
      <alignment horizontal="center" vertical="center" textRotation="90" wrapText="1"/>
    </xf>
    <xf numFmtId="0" fontId="48" fillId="0" borderId="1" xfId="0" applyFont="1" applyFill="1" applyBorder="1" applyAlignment="1">
      <alignment horizontal="center" vertical="center" textRotation="90" wrapText="1"/>
    </xf>
    <xf numFmtId="0" fontId="48" fillId="0" borderId="17" xfId="0" applyFont="1" applyFill="1" applyBorder="1" applyAlignment="1">
      <alignment horizontal="center" vertical="center" textRotation="90" wrapText="1"/>
    </xf>
    <xf numFmtId="0" fontId="48" fillId="0" borderId="29" xfId="0" applyFont="1" applyFill="1" applyBorder="1" applyAlignment="1">
      <alignment horizontal="center" vertical="center" textRotation="90" wrapText="1"/>
    </xf>
    <xf numFmtId="0" fontId="48" fillId="0" borderId="12" xfId="0" applyFont="1" applyFill="1" applyBorder="1" applyAlignment="1">
      <alignment horizontal="center" vertical="center" textRotation="90" wrapText="1"/>
    </xf>
    <xf numFmtId="0" fontId="48" fillId="0" borderId="36" xfId="0" applyFont="1" applyFill="1" applyBorder="1" applyAlignment="1">
      <alignment horizontal="center" vertical="center" textRotation="90" wrapText="1"/>
    </xf>
    <xf numFmtId="165" fontId="48" fillId="0" borderId="51" xfId="1" applyNumberFormat="1" applyFont="1" applyFill="1" applyBorder="1" applyAlignment="1">
      <alignment horizontal="center" vertical="center" textRotation="90"/>
    </xf>
    <xf numFmtId="165" fontId="48" fillId="0" borderId="52" xfId="1" applyNumberFormat="1" applyFont="1" applyFill="1" applyBorder="1" applyAlignment="1">
      <alignment horizontal="center" vertical="center" textRotation="90"/>
    </xf>
    <xf numFmtId="165" fontId="48" fillId="0" borderId="45" xfId="1" applyNumberFormat="1" applyFont="1" applyFill="1" applyBorder="1" applyAlignment="1">
      <alignment horizontal="center" vertical="center" textRotation="90"/>
    </xf>
    <xf numFmtId="165" fontId="48" fillId="0" borderId="48" xfId="1" applyNumberFormat="1" applyFont="1" applyFill="1" applyBorder="1" applyAlignment="1">
      <alignment horizontal="center" vertical="center" textRotation="90" wrapText="1"/>
    </xf>
    <xf numFmtId="165" fontId="48" fillId="0" borderId="49" xfId="1" applyNumberFormat="1" applyFont="1" applyFill="1" applyBorder="1" applyAlignment="1">
      <alignment horizontal="center" vertical="center" textRotation="90" wrapText="1"/>
    </xf>
    <xf numFmtId="165" fontId="48" fillId="0" borderId="50" xfId="1" applyNumberFormat="1" applyFont="1" applyFill="1" applyBorder="1" applyAlignment="1">
      <alignment horizontal="center" vertical="center" textRotation="90" wrapText="1"/>
    </xf>
    <xf numFmtId="0" fontId="50" fillId="0" borderId="28" xfId="0" applyFont="1" applyBorder="1" applyAlignment="1">
      <alignment horizontal="center" vertical="center" wrapText="1"/>
    </xf>
    <xf numFmtId="0" fontId="50" fillId="0" borderId="32" xfId="0" applyFont="1" applyBorder="1" applyAlignment="1">
      <alignment horizontal="center" vertical="center" wrapText="1"/>
    </xf>
    <xf numFmtId="0" fontId="50" fillId="0" borderId="35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12" xfId="0" applyFont="1" applyBorder="1" applyAlignment="1">
      <alignment horizontal="center" vertical="center" wrapText="1"/>
    </xf>
    <xf numFmtId="0" fontId="50" fillId="0" borderId="36" xfId="0" applyFont="1" applyBorder="1" applyAlignment="1">
      <alignment horizontal="center" vertical="center" wrapText="1"/>
    </xf>
    <xf numFmtId="0" fontId="50" fillId="0" borderId="15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17" xfId="0" applyFont="1" applyBorder="1" applyAlignment="1">
      <alignment horizontal="center" vertical="center" wrapText="1"/>
    </xf>
    <xf numFmtId="0" fontId="50" fillId="0" borderId="15" xfId="0" applyFont="1" applyBorder="1" applyAlignment="1">
      <alignment horizontal="center" vertical="center"/>
    </xf>
    <xf numFmtId="0" fontId="50" fillId="0" borderId="1" xfId="0" applyFont="1" applyBorder="1" applyAlignment="1">
      <alignment horizontal="center" vertical="center"/>
    </xf>
    <xf numFmtId="0" fontId="50" fillId="0" borderId="17" xfId="0" applyFont="1" applyBorder="1" applyAlignment="1">
      <alignment horizontal="center" vertical="center"/>
    </xf>
    <xf numFmtId="165" fontId="50" fillId="0" borderId="15" xfId="1" applyNumberFormat="1" applyFont="1" applyFill="1" applyBorder="1" applyAlignment="1">
      <alignment horizontal="center" vertical="center" textRotation="90"/>
    </xf>
    <xf numFmtId="165" fontId="50" fillId="0" borderId="1" xfId="1" applyNumberFormat="1" applyFont="1" applyFill="1" applyBorder="1" applyAlignment="1">
      <alignment horizontal="center" vertical="center" textRotation="90"/>
    </xf>
    <xf numFmtId="165" fontId="50" fillId="0" borderId="17" xfId="1" applyNumberFormat="1" applyFont="1" applyFill="1" applyBorder="1" applyAlignment="1">
      <alignment horizontal="center" vertical="center" textRotation="90"/>
    </xf>
    <xf numFmtId="0" fontId="48" fillId="0" borderId="15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8" fillId="0" borderId="39" xfId="0" applyFont="1" applyBorder="1" applyAlignment="1">
      <alignment horizontal="center" vertical="center" textRotation="90" wrapText="1"/>
    </xf>
    <xf numFmtId="0" fontId="48" fillId="0" borderId="24" xfId="0" applyFont="1" applyBorder="1" applyAlignment="1">
      <alignment horizontal="center" vertical="center" textRotation="90" wrapText="1"/>
    </xf>
    <xf numFmtId="0" fontId="48" fillId="0" borderId="41" xfId="0" applyFont="1" applyBorder="1" applyAlignment="1">
      <alignment horizontal="center" vertical="center" textRotation="90" wrapText="1"/>
    </xf>
    <xf numFmtId="0" fontId="51" fillId="0" borderId="70" xfId="0" applyFont="1" applyBorder="1" applyAlignment="1">
      <alignment horizontal="center" vertical="center"/>
    </xf>
    <xf numFmtId="0" fontId="51" fillId="0" borderId="57" xfId="0" applyFont="1" applyBorder="1" applyAlignment="1">
      <alignment horizontal="center" vertical="center"/>
    </xf>
    <xf numFmtId="0" fontId="51" fillId="0" borderId="58" xfId="0" applyFont="1" applyBorder="1" applyAlignment="1">
      <alignment horizontal="center" vertical="center"/>
    </xf>
    <xf numFmtId="0" fontId="21" fillId="4" borderId="68" xfId="0" applyFont="1" applyFill="1" applyBorder="1" applyAlignment="1">
      <alignment horizontal="center" vertical="center"/>
    </xf>
    <xf numFmtId="0" fontId="21" fillId="4" borderId="54" xfId="0" applyFont="1" applyFill="1" applyBorder="1" applyAlignment="1">
      <alignment horizontal="center" vertical="center"/>
    </xf>
    <xf numFmtId="0" fontId="21" fillId="4" borderId="55" xfId="0" applyFont="1" applyFill="1" applyBorder="1" applyAlignment="1">
      <alignment horizontal="center" vertical="center"/>
    </xf>
    <xf numFmtId="0" fontId="23" fillId="0" borderId="70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43" fillId="15" borderId="62" xfId="0" applyFont="1" applyFill="1" applyBorder="1" applyAlignment="1">
      <alignment horizontal="center" vertical="center" textRotation="90"/>
    </xf>
    <xf numFmtId="0" fontId="43" fillId="15" borderId="61" xfId="0" applyFont="1" applyFill="1" applyBorder="1" applyAlignment="1">
      <alignment horizontal="center" vertical="center" textRotation="90"/>
    </xf>
    <xf numFmtId="0" fontId="13" fillId="0" borderId="39" xfId="0" applyFont="1" applyBorder="1" applyAlignment="1">
      <alignment horizontal="center" vertical="center" textRotation="90" wrapText="1"/>
    </xf>
    <xf numFmtId="0" fontId="13" fillId="0" borderId="24" xfId="0" applyFont="1" applyBorder="1" applyAlignment="1">
      <alignment horizontal="center" vertical="center" textRotation="90" wrapText="1"/>
    </xf>
    <xf numFmtId="0" fontId="13" fillId="0" borderId="41" xfId="0" applyFont="1" applyBorder="1" applyAlignment="1">
      <alignment horizontal="center" vertical="center" textRotation="90" wrapText="1"/>
    </xf>
    <xf numFmtId="165" fontId="13" fillId="0" borderId="51" xfId="1" applyNumberFormat="1" applyFont="1" applyFill="1" applyBorder="1" applyAlignment="1">
      <alignment horizontal="center" vertical="center" textRotation="90"/>
    </xf>
    <xf numFmtId="165" fontId="13" fillId="0" borderId="52" xfId="1" applyNumberFormat="1" applyFont="1" applyFill="1" applyBorder="1" applyAlignment="1">
      <alignment horizontal="center" vertical="center" textRotation="90"/>
    </xf>
    <xf numFmtId="165" fontId="13" fillId="0" borderId="45" xfId="1" applyNumberFormat="1" applyFont="1" applyFill="1" applyBorder="1" applyAlignment="1">
      <alignment horizontal="center" vertical="center" textRotation="90"/>
    </xf>
    <xf numFmtId="165" fontId="13" fillId="0" borderId="48" xfId="1" applyNumberFormat="1" applyFont="1" applyFill="1" applyBorder="1" applyAlignment="1">
      <alignment horizontal="center" vertical="center" textRotation="90" wrapText="1"/>
    </xf>
    <xf numFmtId="165" fontId="13" fillId="0" borderId="49" xfId="1" applyNumberFormat="1" applyFont="1" applyFill="1" applyBorder="1" applyAlignment="1">
      <alignment horizontal="center" vertical="center" textRotation="90" wrapText="1"/>
    </xf>
    <xf numFmtId="165" fontId="13" fillId="0" borderId="50" xfId="1" applyNumberFormat="1" applyFont="1" applyFill="1" applyBorder="1" applyAlignment="1">
      <alignment horizontal="center" vertical="center" textRotation="90" wrapText="1"/>
    </xf>
    <xf numFmtId="0" fontId="24" fillId="8" borderId="21" xfId="0" applyFont="1" applyFill="1" applyBorder="1" applyAlignment="1">
      <alignment horizontal="center" vertical="center"/>
    </xf>
    <xf numFmtId="0" fontId="24" fillId="8" borderId="71" xfId="0" applyFont="1" applyFill="1" applyBorder="1" applyAlignment="1">
      <alignment horizontal="center" vertical="center"/>
    </xf>
    <xf numFmtId="0" fontId="21" fillId="0" borderId="47" xfId="0" applyFont="1" applyFill="1" applyBorder="1" applyAlignment="1">
      <alignment horizontal="center" vertical="center"/>
    </xf>
    <xf numFmtId="0" fontId="21" fillId="0" borderId="35" xfId="0" applyFont="1" applyFill="1" applyBorder="1" applyAlignment="1">
      <alignment horizontal="center" vertical="center"/>
    </xf>
    <xf numFmtId="0" fontId="46" fillId="15" borderId="62" xfId="0" applyFont="1" applyFill="1" applyBorder="1" applyAlignment="1">
      <alignment horizontal="center" vertical="center" textRotation="90"/>
    </xf>
    <xf numFmtId="0" fontId="46" fillId="15" borderId="61" xfId="0" applyFont="1" applyFill="1" applyBorder="1" applyAlignment="1">
      <alignment horizontal="center" vertical="center" textRotation="90"/>
    </xf>
    <xf numFmtId="0" fontId="53" fillId="10" borderId="26" xfId="0" applyFont="1" applyFill="1" applyBorder="1" applyAlignment="1">
      <alignment horizontal="center" vertical="center"/>
    </xf>
    <xf numFmtId="0" fontId="53" fillId="10" borderId="9" xfId="0" applyFont="1" applyFill="1" applyBorder="1" applyAlignment="1">
      <alignment horizontal="center" vertical="center"/>
    </xf>
    <xf numFmtId="0" fontId="53" fillId="10" borderId="27" xfId="0" applyFont="1" applyFill="1" applyBorder="1" applyAlignment="1">
      <alignment horizontal="center" vertical="center"/>
    </xf>
    <xf numFmtId="166" fontId="48" fillId="0" borderId="1" xfId="1" applyNumberFormat="1" applyFont="1" applyBorder="1" applyAlignment="1">
      <alignment horizontal="center"/>
    </xf>
    <xf numFmtId="166" fontId="48" fillId="0" borderId="17" xfId="1" applyNumberFormat="1" applyFont="1" applyBorder="1" applyAlignment="1">
      <alignment horizontal="center"/>
    </xf>
    <xf numFmtId="0" fontId="52" fillId="8" borderId="21" xfId="0" applyFont="1" applyFill="1" applyBorder="1" applyAlignment="1">
      <alignment horizontal="center" vertical="center"/>
    </xf>
    <xf numFmtId="0" fontId="52" fillId="8" borderId="71" xfId="0" applyFont="1" applyFill="1" applyBorder="1" applyAlignment="1">
      <alignment horizontal="center" vertical="center"/>
    </xf>
    <xf numFmtId="0" fontId="52" fillId="8" borderId="8" xfId="0" applyFont="1" applyFill="1" applyBorder="1" applyAlignment="1">
      <alignment horizontal="center" vertical="center"/>
    </xf>
    <xf numFmtId="0" fontId="52" fillId="8" borderId="4" xfId="0" applyFont="1" applyFill="1" applyBorder="1" applyAlignment="1">
      <alignment horizontal="center" vertical="center"/>
    </xf>
    <xf numFmtId="0" fontId="48" fillId="0" borderId="1" xfId="0" applyFont="1" applyBorder="1" applyAlignment="1">
      <alignment horizontal="center"/>
    </xf>
    <xf numFmtId="0" fontId="48" fillId="0" borderId="17" xfId="0" applyFont="1" applyBorder="1" applyAlignment="1">
      <alignment horizontal="center"/>
    </xf>
    <xf numFmtId="0" fontId="52" fillId="8" borderId="52" xfId="0" applyFont="1" applyFill="1" applyBorder="1" applyAlignment="1">
      <alignment horizontal="center" vertical="center"/>
    </xf>
    <xf numFmtId="0" fontId="52" fillId="8" borderId="53" xfId="0" applyFont="1" applyFill="1" applyBorder="1" applyAlignment="1">
      <alignment horizontal="center" vertical="center"/>
    </xf>
    <xf numFmtId="0" fontId="36" fillId="0" borderId="47" xfId="0" applyFont="1" applyFill="1" applyBorder="1" applyAlignment="1">
      <alignment horizontal="center" vertical="center"/>
    </xf>
    <xf numFmtId="0" fontId="36" fillId="0" borderId="3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36" xfId="0" applyFont="1" applyFill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36" fillId="0" borderId="46" xfId="0" applyFont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  <xf numFmtId="0" fontId="48" fillId="0" borderId="15" xfId="0" applyFont="1" applyBorder="1" applyAlignment="1">
      <alignment horizontal="center" wrapText="1"/>
    </xf>
    <xf numFmtId="0" fontId="48" fillId="0" borderId="1" xfId="0" applyFont="1" applyBorder="1" applyAlignment="1">
      <alignment horizontal="center" wrapText="1"/>
    </xf>
    <xf numFmtId="0" fontId="36" fillId="4" borderId="55" xfId="0" applyFont="1" applyFill="1" applyBorder="1" applyAlignment="1">
      <alignment horizontal="center" vertical="center"/>
    </xf>
    <xf numFmtId="0" fontId="21" fillId="4" borderId="4" xfId="0" applyFont="1" applyFill="1" applyBorder="1" applyAlignment="1">
      <alignment horizontal="center" vertical="center"/>
    </xf>
    <xf numFmtId="0" fontId="21" fillId="4" borderId="11" xfId="0" applyFont="1" applyFill="1" applyBorder="1" applyAlignment="1">
      <alignment horizontal="center" vertical="center"/>
    </xf>
    <xf numFmtId="0" fontId="21" fillId="4" borderId="33" xfId="0" applyFont="1" applyFill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1" fillId="15" borderId="64" xfId="0" applyFont="1" applyFill="1" applyBorder="1" applyAlignment="1">
      <alignment horizontal="center" vertical="center" textRotation="90"/>
    </xf>
    <xf numFmtId="0" fontId="21" fillId="15" borderId="61" xfId="0" applyFont="1" applyFill="1" applyBorder="1" applyAlignment="1">
      <alignment horizontal="center" vertical="center" textRotation="90"/>
    </xf>
    <xf numFmtId="0" fontId="51" fillId="0" borderId="30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0" fontId="51" fillId="0" borderId="31" xfId="0" applyFont="1" applyBorder="1" applyAlignment="1">
      <alignment horizontal="center" vertical="center"/>
    </xf>
    <xf numFmtId="0" fontId="45" fillId="15" borderId="64" xfId="0" applyFont="1" applyFill="1" applyBorder="1" applyAlignment="1">
      <alignment horizontal="center" vertical="center" textRotation="90"/>
    </xf>
    <xf numFmtId="0" fontId="45" fillId="15" borderId="61" xfId="0" applyFont="1" applyFill="1" applyBorder="1" applyAlignment="1">
      <alignment horizontal="center" vertical="center" textRotation="90"/>
    </xf>
    <xf numFmtId="0" fontId="48" fillId="0" borderId="15" xfId="0" applyFont="1" applyBorder="1" applyAlignment="1">
      <alignment horizontal="center" vertical="center" textRotation="90" wrapText="1"/>
    </xf>
    <xf numFmtId="0" fontId="48" fillId="0" borderId="1" xfId="0" applyFont="1" applyBorder="1" applyAlignment="1">
      <alignment horizontal="center" vertical="center" textRotation="90" wrapText="1"/>
    </xf>
    <xf numFmtId="0" fontId="48" fillId="0" borderId="17" xfId="0" applyFont="1" applyBorder="1" applyAlignment="1">
      <alignment horizontal="center" vertical="center" textRotation="90" wrapText="1"/>
    </xf>
    <xf numFmtId="0" fontId="36" fillId="4" borderId="24" xfId="0" applyFont="1" applyFill="1" applyBorder="1" applyAlignment="1">
      <alignment horizontal="center" vertical="center"/>
    </xf>
    <xf numFmtId="0" fontId="51" fillId="0" borderId="39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6" fillId="4" borderId="39" xfId="0" applyFont="1" applyFill="1" applyBorder="1" applyAlignment="1">
      <alignment horizontal="center" vertical="center"/>
    </xf>
    <xf numFmtId="0" fontId="36" fillId="4" borderId="57" xfId="0" applyFont="1" applyFill="1" applyBorder="1" applyAlignment="1">
      <alignment horizontal="center" vertical="center"/>
    </xf>
    <xf numFmtId="0" fontId="36" fillId="4" borderId="58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FFCC"/>
      <color rgb="FFFFFF00"/>
      <color rgb="FF92D050"/>
      <color rgb="FFFFC000"/>
      <color rgb="FFF1782D"/>
      <color rgb="FF5B9B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6"/>
  <sheetViews>
    <sheetView topLeftCell="A27" zoomScale="70" zoomScaleNormal="70" workbookViewId="0">
      <selection activeCell="F42" sqref="F42"/>
    </sheetView>
  </sheetViews>
  <sheetFormatPr defaultColWidth="8.81640625" defaultRowHeight="18" x14ac:dyDescent="0.4"/>
  <cols>
    <col min="1" max="1" width="8.1796875" style="1" customWidth="1"/>
    <col min="2" max="2" width="17.1796875" style="1" customWidth="1"/>
    <col min="3" max="3" width="23.1796875" style="1" customWidth="1"/>
    <col min="4" max="4" width="26.08984375" style="1" customWidth="1"/>
    <col min="5" max="5" width="74" style="100" customWidth="1"/>
    <col min="6" max="6" width="13.54296875" style="1" customWidth="1"/>
    <col min="7" max="7" width="12.6328125" style="1" customWidth="1"/>
    <col min="8" max="8" width="12.1796875" style="1" customWidth="1"/>
    <col min="9" max="9" width="8.81640625" style="15"/>
    <col min="10" max="11" width="8.81640625" style="1"/>
    <col min="12" max="12" width="8.08984375" style="1" customWidth="1"/>
    <col min="13" max="13" width="8.81640625" style="1"/>
    <col min="14" max="14" width="11.54296875" style="1" bestFit="1" customWidth="1"/>
    <col min="15" max="15" width="12.6328125" style="1" customWidth="1"/>
    <col min="16" max="16" width="8.81640625" style="1"/>
    <col min="17" max="17" width="10.54296875" style="1" customWidth="1"/>
    <col min="18" max="18" width="8.81640625" style="7"/>
    <col min="19" max="19" width="15.90625" style="1" customWidth="1"/>
    <col min="20" max="33" width="9.90625" style="1" customWidth="1"/>
    <col min="34" max="34" width="19" style="1" customWidth="1"/>
    <col min="35" max="35" width="12.54296875" style="1" customWidth="1"/>
    <col min="36" max="16384" width="8.81640625" style="1"/>
  </cols>
  <sheetData>
    <row r="1" spans="1:37" ht="38.4" customHeight="1" thickBot="1" x14ac:dyDescent="0.35">
      <c r="A1" s="867" t="s">
        <v>153</v>
      </c>
      <c r="B1" s="867"/>
      <c r="C1" s="867"/>
      <c r="D1" s="867"/>
      <c r="E1" s="867"/>
    </row>
    <row r="2" spans="1:37" ht="64.75" customHeight="1" thickBot="1" x14ac:dyDescent="0.35">
      <c r="A2" s="359" t="s">
        <v>33</v>
      </c>
      <c r="B2" s="360" t="s">
        <v>160</v>
      </c>
      <c r="C2" s="361" t="s">
        <v>0</v>
      </c>
      <c r="D2" s="360" t="s">
        <v>150</v>
      </c>
      <c r="E2" s="360" t="s">
        <v>159</v>
      </c>
      <c r="F2" s="362" t="s">
        <v>161</v>
      </c>
    </row>
    <row r="3" spans="1:37" ht="25.75" customHeight="1" x14ac:dyDescent="0.45">
      <c r="A3" s="355">
        <v>1</v>
      </c>
      <c r="B3" s="355" t="s">
        <v>35</v>
      </c>
      <c r="C3" s="356" t="s">
        <v>43</v>
      </c>
      <c r="D3" s="356" t="s">
        <v>47</v>
      </c>
      <c r="E3" s="357" t="s">
        <v>63</v>
      </c>
      <c r="F3" s="358">
        <v>7</v>
      </c>
      <c r="G3" s="311"/>
      <c r="H3" s="307"/>
      <c r="I3" s="76"/>
      <c r="J3" s="76"/>
      <c r="K3" s="76"/>
      <c r="L3" s="312"/>
      <c r="M3" s="76"/>
      <c r="N3" s="313"/>
      <c r="O3" s="313"/>
      <c r="P3" s="313"/>
      <c r="Q3" s="314"/>
      <c r="R3" s="315"/>
      <c r="S3" s="310"/>
      <c r="T3" s="316"/>
      <c r="U3" s="76"/>
      <c r="V3" s="317"/>
      <c r="W3" s="76"/>
      <c r="X3" s="317"/>
      <c r="Y3" s="76"/>
      <c r="Z3" s="317"/>
      <c r="AA3" s="76"/>
      <c r="AB3" s="317"/>
      <c r="AC3" s="76"/>
      <c r="AD3" s="313"/>
      <c r="AE3" s="76"/>
      <c r="AF3" s="313"/>
      <c r="AG3" s="76"/>
      <c r="AH3" s="307"/>
      <c r="AI3" s="307"/>
      <c r="AJ3" s="310"/>
      <c r="AK3" s="310"/>
    </row>
    <row r="4" spans="1:37" ht="25.75" customHeight="1" x14ac:dyDescent="0.45">
      <c r="A4" s="340">
        <v>2</v>
      </c>
      <c r="B4" s="340" t="s">
        <v>36</v>
      </c>
      <c r="C4" s="339" t="s">
        <v>43</v>
      </c>
      <c r="D4" s="339" t="s">
        <v>48</v>
      </c>
      <c r="E4" s="332" t="s">
        <v>64</v>
      </c>
      <c r="F4" s="345">
        <v>6.5</v>
      </c>
      <c r="G4" s="311"/>
      <c r="H4" s="307"/>
      <c r="I4" s="76"/>
      <c r="J4" s="318"/>
      <c r="K4" s="318"/>
      <c r="L4" s="312"/>
      <c r="M4" s="76"/>
      <c r="N4" s="313"/>
      <c r="O4" s="313"/>
      <c r="P4" s="313"/>
      <c r="Q4" s="314"/>
      <c r="R4" s="315"/>
      <c r="S4" s="310"/>
      <c r="T4" s="316"/>
      <c r="U4" s="76"/>
      <c r="V4" s="317"/>
      <c r="W4" s="76"/>
      <c r="X4" s="317"/>
      <c r="Y4" s="76"/>
      <c r="Z4" s="317"/>
      <c r="AA4" s="76"/>
      <c r="AB4" s="317"/>
      <c r="AC4" s="76"/>
      <c r="AD4" s="313"/>
      <c r="AE4" s="76"/>
      <c r="AF4" s="313"/>
      <c r="AG4" s="76"/>
      <c r="AH4" s="307"/>
      <c r="AI4" s="307"/>
      <c r="AJ4" s="310"/>
      <c r="AK4" s="310"/>
    </row>
    <row r="5" spans="1:37" ht="25.75" customHeight="1" x14ac:dyDescent="0.45">
      <c r="A5" s="338">
        <v>3</v>
      </c>
      <c r="B5" s="341" t="s">
        <v>37</v>
      </c>
      <c r="C5" s="339" t="s">
        <v>44</v>
      </c>
      <c r="D5" s="339" t="s">
        <v>49</v>
      </c>
      <c r="E5" s="332" t="s">
        <v>65</v>
      </c>
      <c r="F5" s="345">
        <v>10.5</v>
      </c>
      <c r="G5" s="311"/>
      <c r="H5" s="307"/>
      <c r="I5" s="76"/>
      <c r="J5" s="76"/>
      <c r="K5" s="76"/>
      <c r="L5" s="312"/>
      <c r="M5" s="76"/>
      <c r="N5" s="313"/>
      <c r="O5" s="313"/>
      <c r="P5" s="313"/>
      <c r="Q5" s="314"/>
      <c r="R5" s="315"/>
      <c r="S5" s="310"/>
      <c r="T5" s="316"/>
      <c r="U5" s="76"/>
      <c r="V5" s="317"/>
      <c r="W5" s="76"/>
      <c r="X5" s="317"/>
      <c r="Y5" s="76"/>
      <c r="Z5" s="317"/>
      <c r="AA5" s="76"/>
      <c r="AB5" s="317"/>
      <c r="AC5" s="76"/>
      <c r="AD5" s="313"/>
      <c r="AE5" s="76"/>
      <c r="AF5" s="313"/>
      <c r="AG5" s="76"/>
      <c r="AH5" s="307"/>
      <c r="AI5" s="307"/>
      <c r="AJ5" s="310"/>
      <c r="AK5" s="310"/>
    </row>
    <row r="6" spans="1:37" ht="25.75" customHeight="1" x14ac:dyDescent="0.45">
      <c r="A6" s="340">
        <v>4</v>
      </c>
      <c r="B6" s="338" t="s">
        <v>38</v>
      </c>
      <c r="C6" s="339" t="s">
        <v>45</v>
      </c>
      <c r="D6" s="339" t="s">
        <v>50</v>
      </c>
      <c r="E6" s="332" t="s">
        <v>66</v>
      </c>
      <c r="F6" s="345">
        <v>2.5</v>
      </c>
      <c r="G6" s="311"/>
      <c r="H6" s="307"/>
      <c r="I6" s="76"/>
      <c r="J6" s="318"/>
      <c r="K6" s="318"/>
      <c r="L6" s="312"/>
      <c r="M6" s="76"/>
      <c r="N6" s="313"/>
      <c r="O6" s="313"/>
      <c r="P6" s="313"/>
      <c r="Q6" s="319"/>
      <c r="R6" s="315"/>
      <c r="S6" s="310"/>
      <c r="T6" s="316"/>
      <c r="U6" s="76"/>
      <c r="V6" s="317"/>
      <c r="W6" s="76"/>
      <c r="X6" s="317"/>
      <c r="Y6" s="76"/>
      <c r="Z6" s="317"/>
      <c r="AA6" s="76"/>
      <c r="AB6" s="317"/>
      <c r="AC6" s="76"/>
      <c r="AD6" s="313"/>
      <c r="AE6" s="76"/>
      <c r="AF6" s="313"/>
      <c r="AG6" s="76"/>
      <c r="AH6" s="307"/>
      <c r="AI6" s="307"/>
      <c r="AJ6" s="310"/>
      <c r="AK6" s="310"/>
    </row>
    <row r="7" spans="1:37" ht="25.75" customHeight="1" x14ac:dyDescent="0.45">
      <c r="A7" s="338">
        <v>5</v>
      </c>
      <c r="B7" s="338" t="s">
        <v>38</v>
      </c>
      <c r="C7" s="339" t="s">
        <v>45</v>
      </c>
      <c r="D7" s="339" t="s">
        <v>51</v>
      </c>
      <c r="E7" s="332" t="s">
        <v>67</v>
      </c>
      <c r="F7" s="345">
        <v>1</v>
      </c>
      <c r="G7" s="311"/>
      <c r="H7" s="307"/>
      <c r="I7" s="76"/>
      <c r="J7" s="318"/>
      <c r="K7" s="318"/>
      <c r="L7" s="312"/>
      <c r="M7" s="76"/>
      <c r="N7" s="313"/>
      <c r="O7" s="313"/>
      <c r="P7" s="313"/>
      <c r="Q7" s="319"/>
      <c r="R7" s="315"/>
      <c r="S7" s="310"/>
      <c r="T7" s="316"/>
      <c r="U7" s="76"/>
      <c r="V7" s="317"/>
      <c r="W7" s="76"/>
      <c r="X7" s="317"/>
      <c r="Y7" s="76"/>
      <c r="Z7" s="317"/>
      <c r="AA7" s="76"/>
      <c r="AB7" s="317"/>
      <c r="AC7" s="76"/>
      <c r="AD7" s="313"/>
      <c r="AE7" s="76"/>
      <c r="AF7" s="313"/>
      <c r="AG7" s="76"/>
      <c r="AH7" s="307"/>
      <c r="AI7" s="307"/>
      <c r="AJ7" s="310"/>
      <c r="AK7" s="310"/>
    </row>
    <row r="8" spans="1:37" ht="25.75" customHeight="1" x14ac:dyDescent="0.45">
      <c r="A8" s="340">
        <v>6</v>
      </c>
      <c r="B8" s="338" t="s">
        <v>39</v>
      </c>
      <c r="C8" s="339" t="s">
        <v>45</v>
      </c>
      <c r="D8" s="339" t="s">
        <v>52</v>
      </c>
      <c r="E8" s="332" t="s">
        <v>68</v>
      </c>
      <c r="F8" s="345">
        <v>7</v>
      </c>
      <c r="G8" s="311"/>
      <c r="H8" s="307"/>
      <c r="I8" s="76"/>
      <c r="J8" s="318"/>
      <c r="K8" s="318"/>
      <c r="L8" s="312"/>
      <c r="M8" s="76"/>
      <c r="N8" s="313"/>
      <c r="O8" s="313"/>
      <c r="P8" s="313"/>
      <c r="Q8" s="319"/>
      <c r="R8" s="315"/>
      <c r="S8" s="310"/>
      <c r="T8" s="316"/>
      <c r="U8" s="76"/>
      <c r="V8" s="317"/>
      <c r="W8" s="76"/>
      <c r="X8" s="317"/>
      <c r="Y8" s="76"/>
      <c r="Z8" s="317"/>
      <c r="AA8" s="76"/>
      <c r="AB8" s="317"/>
      <c r="AC8" s="76"/>
      <c r="AD8" s="313"/>
      <c r="AE8" s="76"/>
      <c r="AF8" s="313"/>
      <c r="AG8" s="76"/>
      <c r="AH8" s="307"/>
      <c r="AI8" s="307"/>
      <c r="AJ8" s="310"/>
      <c r="AK8" s="310"/>
    </row>
    <row r="9" spans="1:37" ht="25.75" customHeight="1" x14ac:dyDescent="0.45">
      <c r="A9" s="338">
        <v>7</v>
      </c>
      <c r="B9" s="338" t="s">
        <v>40</v>
      </c>
      <c r="C9" s="339" t="s">
        <v>45</v>
      </c>
      <c r="D9" s="339" t="s">
        <v>53</v>
      </c>
      <c r="E9" s="332" t="s">
        <v>69</v>
      </c>
      <c r="F9" s="345">
        <v>2.65</v>
      </c>
      <c r="G9" s="311"/>
      <c r="H9" s="307"/>
      <c r="I9" s="76"/>
      <c r="J9" s="76"/>
      <c r="K9" s="76"/>
      <c r="L9" s="312"/>
      <c r="M9" s="76"/>
      <c r="N9" s="313"/>
      <c r="O9" s="313"/>
      <c r="P9" s="313"/>
      <c r="Q9" s="319"/>
      <c r="R9" s="315"/>
      <c r="S9" s="310"/>
      <c r="T9" s="316"/>
      <c r="U9" s="76"/>
      <c r="V9" s="317"/>
      <c r="W9" s="76"/>
      <c r="X9" s="317"/>
      <c r="Y9" s="76"/>
      <c r="Z9" s="317"/>
      <c r="AA9" s="76"/>
      <c r="AB9" s="317"/>
      <c r="AC9" s="76"/>
      <c r="AD9" s="313"/>
      <c r="AE9" s="76"/>
      <c r="AF9" s="313"/>
      <c r="AG9" s="76"/>
      <c r="AH9" s="307"/>
      <c r="AI9" s="307"/>
      <c r="AJ9" s="310"/>
      <c r="AK9" s="310"/>
    </row>
    <row r="10" spans="1:37" ht="25.75" customHeight="1" x14ac:dyDescent="0.45">
      <c r="A10" s="340">
        <v>8</v>
      </c>
      <c r="B10" s="338" t="s">
        <v>41</v>
      </c>
      <c r="C10" s="339" t="s">
        <v>46</v>
      </c>
      <c r="D10" s="339" t="s">
        <v>54</v>
      </c>
      <c r="E10" s="332" t="s">
        <v>70</v>
      </c>
      <c r="F10" s="345">
        <v>2.7</v>
      </c>
      <c r="G10" s="311"/>
      <c r="H10" s="307"/>
      <c r="I10" s="76"/>
      <c r="J10" s="318"/>
      <c r="K10" s="76"/>
      <c r="L10" s="312"/>
      <c r="M10" s="76"/>
      <c r="N10" s="313"/>
      <c r="O10" s="313"/>
      <c r="P10" s="313"/>
      <c r="Q10" s="319"/>
      <c r="R10" s="315"/>
      <c r="S10" s="310"/>
      <c r="T10" s="316"/>
      <c r="U10" s="76"/>
      <c r="V10" s="317"/>
      <c r="W10" s="76"/>
      <c r="X10" s="317"/>
      <c r="Y10" s="76"/>
      <c r="Z10" s="317"/>
      <c r="AA10" s="76"/>
      <c r="AB10" s="317"/>
      <c r="AC10" s="76"/>
      <c r="AD10" s="313"/>
      <c r="AE10" s="76"/>
      <c r="AF10" s="313"/>
      <c r="AG10" s="76"/>
      <c r="AH10" s="307"/>
      <c r="AI10" s="307"/>
      <c r="AJ10" s="310"/>
      <c r="AK10" s="310"/>
    </row>
    <row r="11" spans="1:37" ht="25.75" customHeight="1" x14ac:dyDescent="0.45">
      <c r="A11" s="338">
        <v>9</v>
      </c>
      <c r="B11" s="338" t="s">
        <v>41</v>
      </c>
      <c r="C11" s="339" t="s">
        <v>46</v>
      </c>
      <c r="D11" s="339" t="s">
        <v>55</v>
      </c>
      <c r="E11" s="332" t="s">
        <v>71</v>
      </c>
      <c r="F11" s="346">
        <v>2.7</v>
      </c>
      <c r="G11" s="307"/>
      <c r="H11" s="307"/>
      <c r="I11" s="76"/>
      <c r="J11" s="76"/>
      <c r="K11" s="76"/>
      <c r="L11" s="312"/>
      <c r="M11" s="76"/>
      <c r="N11" s="313"/>
      <c r="O11" s="313"/>
      <c r="P11" s="313"/>
      <c r="Q11" s="319"/>
      <c r="R11" s="315"/>
      <c r="S11" s="310"/>
      <c r="T11" s="316"/>
      <c r="U11" s="76"/>
      <c r="V11" s="317"/>
      <c r="W11" s="76"/>
      <c r="X11" s="317"/>
      <c r="Y11" s="76"/>
      <c r="Z11" s="317"/>
      <c r="AA11" s="76"/>
      <c r="AB11" s="317"/>
      <c r="AC11" s="76"/>
      <c r="AD11" s="313"/>
      <c r="AE11" s="76"/>
      <c r="AF11" s="313"/>
      <c r="AG11" s="76"/>
      <c r="AH11" s="307"/>
      <c r="AI11" s="307"/>
      <c r="AJ11" s="310"/>
      <c r="AK11" s="310"/>
    </row>
    <row r="12" spans="1:37" ht="25.75" customHeight="1" x14ac:dyDescent="0.45">
      <c r="A12" s="340">
        <v>10</v>
      </c>
      <c r="B12" s="341" t="s">
        <v>41</v>
      </c>
      <c r="C12" s="339" t="s">
        <v>46</v>
      </c>
      <c r="D12" s="339" t="s">
        <v>55</v>
      </c>
      <c r="E12" s="333" t="s">
        <v>72</v>
      </c>
      <c r="F12" s="345">
        <v>2.2999999999999998</v>
      </c>
      <c r="G12" s="311"/>
      <c r="H12" s="307"/>
      <c r="I12" s="76"/>
      <c r="J12" s="76"/>
      <c r="K12" s="76"/>
      <c r="L12" s="312"/>
      <c r="M12" s="76"/>
      <c r="N12" s="313"/>
      <c r="O12" s="313"/>
      <c r="P12" s="313"/>
      <c r="Q12" s="319"/>
      <c r="R12" s="315"/>
      <c r="S12" s="310"/>
      <c r="T12" s="316"/>
      <c r="U12" s="76"/>
      <c r="V12" s="317"/>
      <c r="W12" s="76"/>
      <c r="X12" s="317"/>
      <c r="Y12" s="76"/>
      <c r="Z12" s="317"/>
      <c r="AA12" s="76"/>
      <c r="AB12" s="317"/>
      <c r="AC12" s="76"/>
      <c r="AD12" s="313"/>
      <c r="AE12" s="76"/>
      <c r="AF12" s="313"/>
      <c r="AG12" s="76"/>
      <c r="AH12" s="307"/>
      <c r="AI12" s="307"/>
      <c r="AJ12" s="310"/>
      <c r="AK12" s="310"/>
    </row>
    <row r="13" spans="1:37" ht="25.75" customHeight="1" x14ac:dyDescent="0.45">
      <c r="A13" s="338">
        <v>11</v>
      </c>
      <c r="B13" s="338" t="s">
        <v>41</v>
      </c>
      <c r="C13" s="339" t="s">
        <v>46</v>
      </c>
      <c r="D13" s="339" t="s">
        <v>56</v>
      </c>
      <c r="E13" s="334" t="s">
        <v>73</v>
      </c>
      <c r="F13" s="346">
        <v>2</v>
      </c>
      <c r="G13" s="307"/>
      <c r="H13" s="307"/>
      <c r="I13" s="76"/>
      <c r="J13" s="76"/>
      <c r="K13" s="76"/>
      <c r="L13" s="312"/>
      <c r="M13" s="76"/>
      <c r="N13" s="313"/>
      <c r="O13" s="313"/>
      <c r="P13" s="313"/>
      <c r="Q13" s="319"/>
      <c r="R13" s="315"/>
      <c r="S13" s="310"/>
      <c r="T13" s="316"/>
      <c r="U13" s="76"/>
      <c r="V13" s="317"/>
      <c r="W13" s="76"/>
      <c r="X13" s="317"/>
      <c r="Y13" s="76"/>
      <c r="Z13" s="317"/>
      <c r="AA13" s="76"/>
      <c r="AB13" s="317"/>
      <c r="AC13" s="76"/>
      <c r="AD13" s="313"/>
      <c r="AE13" s="76"/>
      <c r="AF13" s="313"/>
      <c r="AG13" s="76"/>
      <c r="AH13" s="307"/>
      <c r="AI13" s="307"/>
      <c r="AJ13" s="310"/>
      <c r="AK13" s="310"/>
    </row>
    <row r="14" spans="1:37" s="60" customFormat="1" ht="25.75" customHeight="1" x14ac:dyDescent="0.45">
      <c r="A14" s="340">
        <v>12</v>
      </c>
      <c r="B14" s="340" t="s">
        <v>39</v>
      </c>
      <c r="C14" s="342" t="s">
        <v>45</v>
      </c>
      <c r="D14" s="342" t="s">
        <v>57</v>
      </c>
      <c r="E14" s="337" t="s">
        <v>74</v>
      </c>
      <c r="F14" s="345">
        <v>3</v>
      </c>
      <c r="G14" s="311"/>
      <c r="H14" s="307"/>
      <c r="I14" s="76"/>
      <c r="J14" s="318"/>
      <c r="K14" s="76"/>
      <c r="L14" s="312"/>
      <c r="M14" s="76"/>
      <c r="N14" s="313"/>
      <c r="O14" s="313"/>
      <c r="P14" s="313"/>
      <c r="Q14" s="319"/>
      <c r="R14" s="315"/>
      <c r="S14" s="310"/>
      <c r="T14" s="307"/>
      <c r="U14" s="313"/>
      <c r="V14" s="317"/>
      <c r="W14" s="76"/>
      <c r="X14" s="317"/>
      <c r="Y14" s="76"/>
      <c r="Z14" s="317"/>
      <c r="AA14" s="76"/>
      <c r="AB14" s="317"/>
      <c r="AC14" s="76"/>
      <c r="AD14" s="313"/>
      <c r="AE14" s="76"/>
      <c r="AF14" s="313"/>
      <c r="AG14" s="76"/>
      <c r="AH14" s="307"/>
      <c r="AI14" s="307"/>
      <c r="AJ14" s="310"/>
      <c r="AK14" s="310"/>
    </row>
    <row r="15" spans="1:37" ht="25.75" customHeight="1" x14ac:dyDescent="0.45">
      <c r="A15" s="338">
        <v>13</v>
      </c>
      <c r="B15" s="343" t="s">
        <v>154</v>
      </c>
      <c r="C15" s="339" t="s">
        <v>45</v>
      </c>
      <c r="D15" s="339" t="s">
        <v>58</v>
      </c>
      <c r="E15" s="335" t="s">
        <v>75</v>
      </c>
      <c r="F15" s="345">
        <v>3</v>
      </c>
      <c r="G15" s="320"/>
      <c r="H15" s="307"/>
      <c r="I15" s="76"/>
      <c r="J15" s="318"/>
      <c r="K15" s="76"/>
      <c r="L15" s="312"/>
      <c r="M15" s="76"/>
      <c r="N15" s="313"/>
      <c r="O15" s="313"/>
      <c r="P15" s="313"/>
      <c r="Q15" s="319"/>
      <c r="R15" s="315"/>
      <c r="S15" s="310"/>
      <c r="T15" s="307"/>
      <c r="U15" s="313"/>
      <c r="V15" s="307"/>
      <c r="W15" s="313"/>
      <c r="X15" s="317"/>
      <c r="Y15" s="76"/>
      <c r="Z15" s="317"/>
      <c r="AA15" s="76"/>
      <c r="AB15" s="317"/>
      <c r="AC15" s="76"/>
      <c r="AD15" s="313"/>
      <c r="AE15" s="76"/>
      <c r="AF15" s="313"/>
      <c r="AG15" s="76"/>
      <c r="AH15" s="307"/>
      <c r="AI15" s="307"/>
      <c r="AJ15" s="310"/>
      <c r="AK15" s="310"/>
    </row>
    <row r="16" spans="1:37" ht="25.75" customHeight="1" x14ac:dyDescent="0.45">
      <c r="A16" s="340">
        <v>14</v>
      </c>
      <c r="B16" s="343" t="s">
        <v>154</v>
      </c>
      <c r="C16" s="339" t="s">
        <v>45</v>
      </c>
      <c r="D16" s="339" t="s">
        <v>58</v>
      </c>
      <c r="E16" s="335" t="s">
        <v>76</v>
      </c>
      <c r="F16" s="346">
        <v>2.7</v>
      </c>
      <c r="G16" s="307"/>
      <c r="H16" s="307"/>
      <c r="I16" s="76"/>
      <c r="J16" s="318"/>
      <c r="K16" s="76"/>
      <c r="L16" s="312"/>
      <c r="M16" s="76"/>
      <c r="N16" s="313"/>
      <c r="O16" s="313"/>
      <c r="P16" s="313"/>
      <c r="Q16" s="319"/>
      <c r="R16" s="315"/>
      <c r="S16" s="310"/>
      <c r="T16" s="307"/>
      <c r="U16" s="313"/>
      <c r="V16" s="307"/>
      <c r="W16" s="313"/>
      <c r="X16" s="317"/>
      <c r="Y16" s="76"/>
      <c r="Z16" s="317"/>
      <c r="AA16" s="76"/>
      <c r="AB16" s="317"/>
      <c r="AC16" s="76"/>
      <c r="AD16" s="313"/>
      <c r="AE16" s="76"/>
      <c r="AF16" s="313"/>
      <c r="AG16" s="76"/>
      <c r="AH16" s="307"/>
      <c r="AI16" s="307"/>
      <c r="AJ16" s="310"/>
      <c r="AK16" s="310"/>
    </row>
    <row r="17" spans="1:37" ht="25.75" customHeight="1" x14ac:dyDescent="0.45">
      <c r="A17" s="338">
        <v>15</v>
      </c>
      <c r="B17" s="343" t="s">
        <v>154</v>
      </c>
      <c r="C17" s="339" t="s">
        <v>46</v>
      </c>
      <c r="D17" s="339" t="s">
        <v>59</v>
      </c>
      <c r="E17" s="335" t="s">
        <v>77</v>
      </c>
      <c r="F17" s="345">
        <v>1.7</v>
      </c>
      <c r="G17" s="311"/>
      <c r="H17" s="307"/>
      <c r="I17" s="76"/>
      <c r="J17" s="318"/>
      <c r="K17" s="76"/>
      <c r="L17" s="312"/>
      <c r="M17" s="76"/>
      <c r="N17" s="313"/>
      <c r="O17" s="313"/>
      <c r="P17" s="313"/>
      <c r="Q17" s="319"/>
      <c r="R17" s="315"/>
      <c r="S17" s="310"/>
      <c r="T17" s="307"/>
      <c r="U17" s="313"/>
      <c r="V17" s="307"/>
      <c r="W17" s="313"/>
      <c r="X17" s="317"/>
      <c r="Y17" s="76"/>
      <c r="Z17" s="317"/>
      <c r="AA17" s="76"/>
      <c r="AB17" s="317"/>
      <c r="AC17" s="76"/>
      <c r="AD17" s="313"/>
      <c r="AE17" s="76"/>
      <c r="AF17" s="313"/>
      <c r="AG17" s="76"/>
      <c r="AH17" s="307"/>
      <c r="AI17" s="307"/>
      <c r="AJ17" s="310"/>
      <c r="AK17" s="310"/>
    </row>
    <row r="18" spans="1:37" ht="25.75" customHeight="1" x14ac:dyDescent="0.45">
      <c r="A18" s="340">
        <v>16</v>
      </c>
      <c r="B18" s="343" t="s">
        <v>154</v>
      </c>
      <c r="C18" s="339" t="s">
        <v>46</v>
      </c>
      <c r="D18" s="339" t="s">
        <v>60</v>
      </c>
      <c r="E18" s="335" t="s">
        <v>78</v>
      </c>
      <c r="F18" s="345">
        <v>2</v>
      </c>
      <c r="G18" s="311"/>
      <c r="H18" s="307"/>
      <c r="I18" s="76"/>
      <c r="J18" s="318"/>
      <c r="K18" s="76"/>
      <c r="L18" s="312"/>
      <c r="M18" s="76"/>
      <c r="N18" s="313"/>
      <c r="O18" s="313"/>
      <c r="P18" s="313"/>
      <c r="Q18" s="319"/>
      <c r="R18" s="315"/>
      <c r="S18" s="310"/>
      <c r="T18" s="307"/>
      <c r="U18" s="313"/>
      <c r="V18" s="307"/>
      <c r="W18" s="313"/>
      <c r="X18" s="317"/>
      <c r="Y18" s="76"/>
      <c r="Z18" s="317"/>
      <c r="AA18" s="76"/>
      <c r="AB18" s="317"/>
      <c r="AC18" s="76"/>
      <c r="AD18" s="313"/>
      <c r="AE18" s="76"/>
      <c r="AF18" s="313"/>
      <c r="AG18" s="76"/>
      <c r="AH18" s="307"/>
      <c r="AI18" s="307"/>
      <c r="AJ18" s="310"/>
      <c r="AK18" s="310"/>
    </row>
    <row r="19" spans="1:37" ht="25.75" customHeight="1" x14ac:dyDescent="0.45">
      <c r="A19" s="338">
        <v>17</v>
      </c>
      <c r="B19" s="343" t="s">
        <v>154</v>
      </c>
      <c r="C19" s="339" t="s">
        <v>46</v>
      </c>
      <c r="D19" s="339" t="s">
        <v>61</v>
      </c>
      <c r="E19" s="335" t="s">
        <v>79</v>
      </c>
      <c r="F19" s="346">
        <v>2</v>
      </c>
      <c r="G19" s="307"/>
      <c r="H19" s="307"/>
      <c r="I19" s="76"/>
      <c r="J19" s="318"/>
      <c r="K19" s="76"/>
      <c r="L19" s="312"/>
      <c r="M19" s="76"/>
      <c r="N19" s="313"/>
      <c r="O19" s="313"/>
      <c r="P19" s="313"/>
      <c r="Q19" s="319"/>
      <c r="R19" s="315"/>
      <c r="S19" s="310"/>
      <c r="T19" s="307"/>
      <c r="U19" s="313"/>
      <c r="V19" s="307"/>
      <c r="W19" s="313"/>
      <c r="X19" s="317"/>
      <c r="Y19" s="76"/>
      <c r="Z19" s="317"/>
      <c r="AA19" s="76"/>
      <c r="AB19" s="317"/>
      <c r="AC19" s="76"/>
      <c r="AD19" s="313"/>
      <c r="AE19" s="76"/>
      <c r="AF19" s="313"/>
      <c r="AG19" s="76"/>
      <c r="AH19" s="307"/>
      <c r="AI19" s="307"/>
      <c r="AJ19" s="310"/>
      <c r="AK19" s="310"/>
    </row>
    <row r="20" spans="1:37" ht="25.75" customHeight="1" x14ac:dyDescent="0.45">
      <c r="A20" s="340">
        <v>18</v>
      </c>
      <c r="B20" s="343" t="s">
        <v>154</v>
      </c>
      <c r="C20" s="339" t="s">
        <v>46</v>
      </c>
      <c r="D20" s="339" t="s">
        <v>62</v>
      </c>
      <c r="E20" s="335" t="s">
        <v>80</v>
      </c>
      <c r="F20" s="345">
        <v>2</v>
      </c>
      <c r="G20" s="311"/>
      <c r="H20" s="307"/>
      <c r="I20" s="76"/>
      <c r="J20" s="318"/>
      <c r="K20" s="76"/>
      <c r="L20" s="312"/>
      <c r="M20" s="76"/>
      <c r="N20" s="313"/>
      <c r="O20" s="313"/>
      <c r="P20" s="313"/>
      <c r="Q20" s="319"/>
      <c r="R20" s="315"/>
      <c r="S20" s="310"/>
      <c r="T20" s="307"/>
      <c r="U20" s="313"/>
      <c r="V20" s="307"/>
      <c r="W20" s="313"/>
      <c r="X20" s="317"/>
      <c r="Y20" s="76"/>
      <c r="Z20" s="317"/>
      <c r="AA20" s="76"/>
      <c r="AB20" s="317"/>
      <c r="AC20" s="76"/>
      <c r="AD20" s="313"/>
      <c r="AE20" s="76"/>
      <c r="AF20" s="313"/>
      <c r="AG20" s="76"/>
      <c r="AH20" s="307"/>
      <c r="AI20" s="307"/>
      <c r="AJ20" s="310"/>
      <c r="AK20" s="310"/>
    </row>
    <row r="21" spans="1:37" ht="25.75" customHeight="1" x14ac:dyDescent="0.45">
      <c r="A21" s="338">
        <v>19</v>
      </c>
      <c r="B21" s="343" t="s">
        <v>154</v>
      </c>
      <c r="C21" s="339" t="s">
        <v>46</v>
      </c>
      <c r="D21" s="339" t="s">
        <v>62</v>
      </c>
      <c r="E21" s="335" t="s">
        <v>81</v>
      </c>
      <c r="F21" s="346">
        <v>2.7</v>
      </c>
      <c r="G21" s="307"/>
      <c r="H21" s="307"/>
      <c r="I21" s="76"/>
      <c r="J21" s="318"/>
      <c r="K21" s="76"/>
      <c r="L21" s="312"/>
      <c r="M21" s="76"/>
      <c r="N21" s="313"/>
      <c r="O21" s="313"/>
      <c r="P21" s="313"/>
      <c r="Q21" s="319"/>
      <c r="R21" s="315"/>
      <c r="S21" s="310"/>
      <c r="T21" s="307"/>
      <c r="U21" s="313"/>
      <c r="V21" s="307"/>
      <c r="W21" s="313"/>
      <c r="X21" s="317"/>
      <c r="Y21" s="76"/>
      <c r="Z21" s="317"/>
      <c r="AA21" s="76"/>
      <c r="AB21" s="317"/>
      <c r="AC21" s="76"/>
      <c r="AD21" s="313"/>
      <c r="AE21" s="76"/>
      <c r="AF21" s="313"/>
      <c r="AG21" s="76"/>
      <c r="AH21" s="307"/>
      <c r="AI21" s="307"/>
      <c r="AJ21" s="310"/>
      <c r="AK21" s="310"/>
    </row>
    <row r="22" spans="1:37" ht="25.75" customHeight="1" x14ac:dyDescent="0.45">
      <c r="A22" s="370"/>
      <c r="B22" s="371"/>
      <c r="C22" s="372"/>
      <c r="D22" s="372"/>
      <c r="E22" s="368" t="s">
        <v>158</v>
      </c>
      <c r="F22" s="367">
        <f>SUM(F3:F21)</f>
        <v>65.95</v>
      </c>
      <c r="G22" s="307"/>
      <c r="H22" s="307"/>
      <c r="I22" s="76"/>
      <c r="J22" s="318"/>
      <c r="K22" s="76"/>
      <c r="L22" s="312"/>
      <c r="M22" s="76"/>
      <c r="N22" s="313"/>
      <c r="O22" s="313"/>
      <c r="P22" s="313"/>
      <c r="Q22" s="319"/>
      <c r="R22" s="315"/>
      <c r="S22" s="310"/>
      <c r="T22" s="307"/>
      <c r="U22" s="313"/>
      <c r="V22" s="307"/>
      <c r="W22" s="313"/>
      <c r="X22" s="317"/>
      <c r="Y22" s="76"/>
      <c r="Z22" s="317"/>
      <c r="AA22" s="76"/>
      <c r="AB22" s="317"/>
      <c r="AC22" s="76"/>
      <c r="AD22" s="313"/>
      <c r="AE22" s="76"/>
      <c r="AF22" s="313"/>
      <c r="AG22" s="76"/>
      <c r="AH22" s="307"/>
      <c r="AI22" s="307"/>
      <c r="AJ22" s="310"/>
      <c r="AK22" s="310"/>
    </row>
    <row r="23" spans="1:37" ht="48" customHeight="1" thickBot="1" x14ac:dyDescent="0.35">
      <c r="A23" s="363" t="s">
        <v>33</v>
      </c>
      <c r="B23" s="364" t="s">
        <v>160</v>
      </c>
      <c r="C23" s="365" t="s">
        <v>0</v>
      </c>
      <c r="D23" s="364" t="s">
        <v>150</v>
      </c>
      <c r="E23" s="364" t="s">
        <v>162</v>
      </c>
      <c r="F23" s="366" t="s">
        <v>161</v>
      </c>
      <c r="G23" s="307"/>
      <c r="H23" s="307"/>
      <c r="I23" s="308"/>
      <c r="J23" s="307"/>
      <c r="K23" s="307"/>
      <c r="L23" s="307"/>
      <c r="M23" s="313"/>
      <c r="N23" s="313"/>
      <c r="O23" s="313"/>
      <c r="P23" s="313"/>
      <c r="Q23" s="310"/>
      <c r="R23" s="315"/>
      <c r="S23" s="310"/>
      <c r="T23" s="307"/>
      <c r="U23" s="313"/>
      <c r="V23" s="307"/>
      <c r="W23" s="313"/>
      <c r="X23" s="313"/>
      <c r="Y23" s="313"/>
      <c r="Z23" s="313"/>
      <c r="AA23" s="313"/>
      <c r="AB23" s="313"/>
      <c r="AC23" s="313"/>
      <c r="AD23" s="313"/>
      <c r="AE23" s="313"/>
      <c r="AF23" s="313"/>
      <c r="AG23" s="313"/>
      <c r="AH23" s="307"/>
      <c r="AI23" s="307"/>
      <c r="AJ23" s="310"/>
      <c r="AK23" s="310"/>
    </row>
    <row r="24" spans="1:37" ht="25.75" customHeight="1" x14ac:dyDescent="0.45">
      <c r="A24" s="338">
        <v>1</v>
      </c>
      <c r="B24" s="343" t="s">
        <v>39</v>
      </c>
      <c r="C24" s="339" t="s">
        <v>45</v>
      </c>
      <c r="D24" s="339" t="s">
        <v>57</v>
      </c>
      <c r="E24" s="348" t="s">
        <v>74</v>
      </c>
      <c r="F24" s="345">
        <v>3</v>
      </c>
      <c r="G24" s="307"/>
      <c r="H24" s="307"/>
      <c r="I24" s="308"/>
      <c r="J24" s="307"/>
      <c r="K24" s="307"/>
      <c r="L24" s="307"/>
      <c r="M24" s="313"/>
      <c r="N24" s="313"/>
      <c r="O24" s="313"/>
      <c r="P24" s="313"/>
      <c r="Q24" s="310"/>
      <c r="R24" s="315"/>
      <c r="S24" s="310"/>
      <c r="T24" s="307"/>
      <c r="U24" s="313"/>
      <c r="V24" s="307"/>
      <c r="W24" s="313"/>
      <c r="X24" s="313"/>
      <c r="Y24" s="313"/>
      <c r="Z24" s="313"/>
      <c r="AA24" s="313"/>
      <c r="AB24" s="313"/>
      <c r="AC24" s="313"/>
      <c r="AD24" s="313"/>
      <c r="AE24" s="313"/>
      <c r="AF24" s="313"/>
      <c r="AG24" s="313"/>
      <c r="AH24" s="307"/>
      <c r="AI24" s="307"/>
      <c r="AJ24" s="310"/>
      <c r="AK24" s="310"/>
    </row>
    <row r="25" spans="1:37" ht="25.75" customHeight="1" x14ac:dyDescent="0.45">
      <c r="A25" s="338">
        <v>2</v>
      </c>
      <c r="B25" s="343" t="s">
        <v>155</v>
      </c>
      <c r="C25" s="339" t="s">
        <v>43</v>
      </c>
      <c r="D25" s="339" t="s">
        <v>43</v>
      </c>
      <c r="E25" s="349" t="s">
        <v>101</v>
      </c>
      <c r="F25" s="346">
        <v>4</v>
      </c>
      <c r="G25" s="311"/>
      <c r="H25" s="307"/>
      <c r="I25" s="76"/>
      <c r="J25" s="318"/>
      <c r="K25" s="76"/>
      <c r="L25" s="312"/>
      <c r="M25" s="76"/>
      <c r="N25" s="321"/>
      <c r="O25" s="313"/>
      <c r="P25" s="313"/>
      <c r="Q25" s="310"/>
      <c r="R25" s="315"/>
      <c r="S25" s="310"/>
      <c r="T25" s="307"/>
      <c r="U25" s="313"/>
      <c r="V25" s="307"/>
      <c r="W25" s="313"/>
      <c r="X25" s="313"/>
      <c r="Y25" s="322"/>
      <c r="Z25" s="313"/>
      <c r="AA25" s="322"/>
      <c r="AB25" s="322"/>
      <c r="AC25" s="322"/>
      <c r="AD25" s="322"/>
      <c r="AE25" s="322"/>
      <c r="AF25" s="313"/>
      <c r="AG25" s="322"/>
      <c r="AH25" s="307"/>
      <c r="AI25" s="307"/>
      <c r="AJ25" s="310"/>
      <c r="AK25" s="310"/>
    </row>
    <row r="26" spans="1:37" ht="25.75" customHeight="1" x14ac:dyDescent="0.45">
      <c r="A26" s="338">
        <v>3</v>
      </c>
      <c r="B26" s="344" t="s">
        <v>93</v>
      </c>
      <c r="C26" s="339" t="s">
        <v>45</v>
      </c>
      <c r="D26" s="339" t="s">
        <v>58</v>
      </c>
      <c r="E26" s="349" t="s">
        <v>96</v>
      </c>
      <c r="F26" s="346">
        <v>1</v>
      </c>
      <c r="G26" s="307"/>
      <c r="H26" s="76"/>
      <c r="I26" s="323"/>
      <c r="J26" s="76"/>
      <c r="K26" s="76"/>
      <c r="L26" s="307"/>
      <c r="M26" s="76"/>
      <c r="N26" s="321"/>
      <c r="O26" s="313"/>
      <c r="P26" s="313"/>
      <c r="Q26" s="319"/>
      <c r="R26" s="315"/>
      <c r="S26" s="310"/>
      <c r="T26" s="307"/>
      <c r="U26" s="313"/>
      <c r="V26" s="307"/>
      <c r="W26" s="313"/>
      <c r="X26" s="317"/>
      <c r="Y26" s="76"/>
      <c r="Z26" s="317"/>
      <c r="AA26" s="76"/>
      <c r="AB26" s="317"/>
      <c r="AC26" s="76"/>
      <c r="AD26" s="313"/>
      <c r="AE26" s="76"/>
      <c r="AF26" s="313"/>
      <c r="AG26" s="322"/>
      <c r="AH26" s="307"/>
      <c r="AI26" s="307"/>
      <c r="AJ26" s="310"/>
      <c r="AK26" s="310"/>
    </row>
    <row r="27" spans="1:37" ht="25.75" customHeight="1" x14ac:dyDescent="0.45">
      <c r="A27" s="338">
        <v>4</v>
      </c>
      <c r="B27" s="343" t="s">
        <v>155</v>
      </c>
      <c r="C27" s="339" t="s">
        <v>43</v>
      </c>
      <c r="D27" s="339" t="s">
        <v>43</v>
      </c>
      <c r="E27" s="349" t="s">
        <v>100</v>
      </c>
      <c r="F27" s="346">
        <v>1.5</v>
      </c>
      <c r="G27" s="307"/>
      <c r="H27" s="76"/>
      <c r="I27" s="76"/>
      <c r="J27" s="76"/>
      <c r="K27" s="76"/>
      <c r="L27" s="307"/>
      <c r="M27" s="76"/>
      <c r="N27" s="321"/>
      <c r="O27" s="313"/>
      <c r="P27" s="313"/>
      <c r="Q27" s="319"/>
      <c r="R27" s="315"/>
      <c r="S27" s="310"/>
      <c r="T27" s="307"/>
      <c r="U27" s="313"/>
      <c r="V27" s="317"/>
      <c r="W27" s="76"/>
      <c r="X27" s="317"/>
      <c r="Y27" s="76"/>
      <c r="Z27" s="317"/>
      <c r="AA27" s="76"/>
      <c r="AB27" s="317"/>
      <c r="AC27" s="76"/>
      <c r="AD27" s="313"/>
      <c r="AE27" s="76"/>
      <c r="AF27" s="313"/>
      <c r="AG27" s="322"/>
      <c r="AH27" s="307"/>
      <c r="AI27" s="307"/>
      <c r="AJ27" s="310"/>
      <c r="AK27" s="310"/>
    </row>
    <row r="28" spans="1:37" ht="25.75" customHeight="1" x14ac:dyDescent="0.45">
      <c r="A28" s="338">
        <v>5</v>
      </c>
      <c r="B28" s="340" t="s">
        <v>35</v>
      </c>
      <c r="C28" s="339" t="s">
        <v>43</v>
      </c>
      <c r="D28" s="339" t="s">
        <v>120</v>
      </c>
      <c r="E28" s="350" t="s">
        <v>129</v>
      </c>
      <c r="F28" s="347">
        <v>8</v>
      </c>
      <c r="G28" s="307"/>
      <c r="H28" s="76"/>
      <c r="I28" s="76"/>
      <c r="J28" s="76"/>
      <c r="K28" s="76"/>
      <c r="L28" s="307"/>
      <c r="M28" s="76"/>
      <c r="N28" s="321"/>
      <c r="O28" s="313"/>
      <c r="P28" s="313"/>
      <c r="Q28" s="319"/>
      <c r="R28" s="315"/>
      <c r="S28" s="310"/>
      <c r="T28" s="307"/>
      <c r="U28" s="313"/>
      <c r="V28" s="317"/>
      <c r="W28" s="76"/>
      <c r="X28" s="317"/>
      <c r="Y28" s="76"/>
      <c r="Z28" s="317"/>
      <c r="AA28" s="76"/>
      <c r="AB28" s="317"/>
      <c r="AC28" s="76"/>
      <c r="AD28" s="313"/>
      <c r="AE28" s="76"/>
      <c r="AF28" s="313"/>
      <c r="AG28" s="322"/>
      <c r="AH28" s="307"/>
      <c r="AI28" s="307"/>
      <c r="AJ28" s="310"/>
      <c r="AK28" s="310"/>
    </row>
    <row r="29" spans="1:37" ht="25.75" customHeight="1" x14ac:dyDescent="0.45">
      <c r="A29" s="338">
        <v>6</v>
      </c>
      <c r="B29" s="343" t="s">
        <v>155</v>
      </c>
      <c r="C29" s="339" t="s">
        <v>45</v>
      </c>
      <c r="D29" s="339" t="s">
        <v>51</v>
      </c>
      <c r="E29" s="349" t="s">
        <v>97</v>
      </c>
      <c r="F29" s="346">
        <v>2</v>
      </c>
      <c r="G29" s="324"/>
      <c r="H29" s="76"/>
      <c r="I29" s="76"/>
      <c r="J29" s="76"/>
      <c r="K29" s="76"/>
      <c r="L29" s="307"/>
      <c r="M29" s="76"/>
      <c r="N29" s="321"/>
      <c r="O29" s="313"/>
      <c r="P29" s="313"/>
      <c r="Q29" s="319"/>
      <c r="R29" s="315"/>
      <c r="S29" s="310"/>
      <c r="T29" s="307"/>
      <c r="U29" s="313"/>
      <c r="V29" s="307"/>
      <c r="W29" s="313"/>
      <c r="X29" s="307"/>
      <c r="Y29" s="76"/>
      <c r="Z29" s="317"/>
      <c r="AA29" s="76"/>
      <c r="AB29" s="317"/>
      <c r="AC29" s="76"/>
      <c r="AD29" s="313"/>
      <c r="AE29" s="76"/>
      <c r="AF29" s="313"/>
      <c r="AG29" s="322"/>
      <c r="AH29" s="307"/>
      <c r="AI29" s="307"/>
      <c r="AJ29" s="310"/>
      <c r="AK29" s="310"/>
    </row>
    <row r="30" spans="1:37" ht="25.75" customHeight="1" x14ac:dyDescent="0.45">
      <c r="A30" s="338">
        <v>7</v>
      </c>
      <c r="B30" s="343" t="s">
        <v>86</v>
      </c>
      <c r="C30" s="339" t="s">
        <v>43</v>
      </c>
      <c r="D30" s="339" t="s">
        <v>130</v>
      </c>
      <c r="E30" s="348" t="s">
        <v>109</v>
      </c>
      <c r="F30" s="345">
        <v>4.75</v>
      </c>
      <c r="G30" s="307"/>
      <c r="H30" s="76"/>
      <c r="I30" s="76"/>
      <c r="J30" s="76"/>
      <c r="K30" s="76"/>
      <c r="L30" s="307"/>
      <c r="M30" s="76"/>
      <c r="N30" s="321"/>
      <c r="O30" s="313"/>
      <c r="P30" s="313"/>
      <c r="Q30" s="319"/>
      <c r="R30" s="315"/>
      <c r="S30" s="310"/>
      <c r="T30" s="307"/>
      <c r="U30" s="313"/>
      <c r="V30" s="317"/>
      <c r="W30" s="76"/>
      <c r="X30" s="317"/>
      <c r="Y30" s="76"/>
      <c r="Z30" s="317"/>
      <c r="AA30" s="76"/>
      <c r="AB30" s="317"/>
      <c r="AC30" s="76"/>
      <c r="AD30" s="313"/>
      <c r="AE30" s="76"/>
      <c r="AF30" s="313"/>
      <c r="AG30" s="322"/>
      <c r="AH30" s="307"/>
      <c r="AI30" s="307"/>
      <c r="AJ30" s="310"/>
      <c r="AK30" s="310"/>
    </row>
    <row r="31" spans="1:37" ht="25.75" customHeight="1" x14ac:dyDescent="0.45">
      <c r="A31" s="338">
        <v>8</v>
      </c>
      <c r="B31" s="343" t="s">
        <v>155</v>
      </c>
      <c r="C31" s="339" t="s">
        <v>43</v>
      </c>
      <c r="D31" s="339" t="s">
        <v>123</v>
      </c>
      <c r="E31" s="349" t="s">
        <v>98</v>
      </c>
      <c r="F31" s="346">
        <v>1.8</v>
      </c>
      <c r="G31" s="311"/>
      <c r="H31" s="76"/>
      <c r="I31" s="76"/>
      <c r="J31" s="76"/>
      <c r="K31" s="76"/>
      <c r="L31" s="307"/>
      <c r="M31" s="76"/>
      <c r="N31" s="321"/>
      <c r="O31" s="313"/>
      <c r="P31" s="313"/>
      <c r="Q31" s="319"/>
      <c r="R31" s="315"/>
      <c r="S31" s="310"/>
      <c r="T31" s="307"/>
      <c r="U31" s="313"/>
      <c r="V31" s="307"/>
      <c r="W31" s="313"/>
      <c r="X31" s="307"/>
      <c r="Y31" s="313"/>
      <c r="Z31" s="317"/>
      <c r="AA31" s="76"/>
      <c r="AB31" s="317"/>
      <c r="AC31" s="76"/>
      <c r="AD31" s="313"/>
      <c r="AE31" s="76"/>
      <c r="AF31" s="313"/>
      <c r="AG31" s="76"/>
      <c r="AH31" s="307"/>
      <c r="AI31" s="307"/>
      <c r="AJ31" s="310"/>
      <c r="AK31" s="310"/>
    </row>
    <row r="32" spans="1:37" ht="25.75" customHeight="1" x14ac:dyDescent="0.45">
      <c r="A32" s="338">
        <v>9</v>
      </c>
      <c r="B32" s="343" t="s">
        <v>155</v>
      </c>
      <c r="C32" s="339" t="s">
        <v>43</v>
      </c>
      <c r="D32" s="339" t="s">
        <v>124</v>
      </c>
      <c r="E32" s="349" t="s">
        <v>99</v>
      </c>
      <c r="F32" s="346">
        <v>5</v>
      </c>
      <c r="G32" s="307"/>
      <c r="H32" s="76"/>
      <c r="I32" s="76"/>
      <c r="J32" s="76"/>
      <c r="K32" s="76"/>
      <c r="L32" s="307"/>
      <c r="M32" s="76"/>
      <c r="N32" s="321"/>
      <c r="O32" s="313"/>
      <c r="P32" s="313"/>
      <c r="Q32" s="319"/>
      <c r="R32" s="315"/>
      <c r="S32" s="310"/>
      <c r="T32" s="307"/>
      <c r="U32" s="313"/>
      <c r="V32" s="317"/>
      <c r="W32" s="76"/>
      <c r="X32" s="317"/>
      <c r="Y32" s="76"/>
      <c r="Z32" s="317"/>
      <c r="AA32" s="76"/>
      <c r="AB32" s="317"/>
      <c r="AC32" s="76"/>
      <c r="AD32" s="313"/>
      <c r="AE32" s="76"/>
      <c r="AF32" s="313"/>
      <c r="AG32" s="76"/>
      <c r="AH32" s="307"/>
      <c r="AI32" s="307"/>
      <c r="AJ32" s="310"/>
      <c r="AK32" s="310"/>
    </row>
    <row r="33" spans="1:37" ht="25.75" customHeight="1" x14ac:dyDescent="0.45">
      <c r="A33" s="338">
        <v>10</v>
      </c>
      <c r="B33" s="343" t="s">
        <v>92</v>
      </c>
      <c r="C33" s="339" t="s">
        <v>44</v>
      </c>
      <c r="D33" s="339" t="s">
        <v>122</v>
      </c>
      <c r="E33" s="348" t="s">
        <v>118</v>
      </c>
      <c r="F33" s="345">
        <v>7.9</v>
      </c>
      <c r="G33" s="307"/>
      <c r="H33" s="76"/>
      <c r="I33" s="76"/>
      <c r="J33" s="76"/>
      <c r="K33" s="76"/>
      <c r="L33" s="307"/>
      <c r="M33" s="76"/>
      <c r="N33" s="321"/>
      <c r="O33" s="313"/>
      <c r="P33" s="313"/>
      <c r="Q33" s="319"/>
      <c r="R33" s="315"/>
      <c r="S33" s="310"/>
      <c r="T33" s="307"/>
      <c r="U33" s="313"/>
      <c r="V33" s="317"/>
      <c r="W33" s="76"/>
      <c r="X33" s="317"/>
      <c r="Y33" s="76"/>
      <c r="Z33" s="317"/>
      <c r="AA33" s="76"/>
      <c r="AB33" s="317"/>
      <c r="AC33" s="76"/>
      <c r="AD33" s="313"/>
      <c r="AE33" s="76"/>
      <c r="AF33" s="313"/>
      <c r="AG33" s="76"/>
      <c r="AH33" s="307"/>
      <c r="AI33" s="307"/>
      <c r="AJ33" s="310"/>
      <c r="AK33" s="310"/>
    </row>
    <row r="34" spans="1:37" ht="25.75" customHeight="1" x14ac:dyDescent="0.45">
      <c r="A34" s="338">
        <v>11</v>
      </c>
      <c r="B34" s="343" t="s">
        <v>88</v>
      </c>
      <c r="C34" s="339" t="s">
        <v>44</v>
      </c>
      <c r="D34" s="339" t="s">
        <v>132</v>
      </c>
      <c r="E34" s="348" t="s">
        <v>112</v>
      </c>
      <c r="F34" s="346">
        <v>10.3</v>
      </c>
      <c r="G34" s="311"/>
      <c r="H34" s="76"/>
      <c r="I34" s="76"/>
      <c r="J34" s="76"/>
      <c r="K34" s="76"/>
      <c r="L34" s="307"/>
      <c r="M34" s="76"/>
      <c r="N34" s="321"/>
      <c r="O34" s="313"/>
      <c r="P34" s="313"/>
      <c r="Q34" s="319"/>
      <c r="R34" s="315"/>
      <c r="S34" s="310"/>
      <c r="T34" s="307"/>
      <c r="U34" s="313"/>
      <c r="V34" s="307"/>
      <c r="W34" s="313"/>
      <c r="X34" s="307"/>
      <c r="Y34" s="313"/>
      <c r="Z34" s="307"/>
      <c r="AA34" s="76"/>
      <c r="AB34" s="317"/>
      <c r="AC34" s="76"/>
      <c r="AD34" s="313"/>
      <c r="AE34" s="76"/>
      <c r="AF34" s="313"/>
      <c r="AG34" s="76"/>
      <c r="AH34" s="307"/>
      <c r="AI34" s="307"/>
      <c r="AJ34" s="310"/>
      <c r="AK34" s="310"/>
    </row>
    <row r="35" spans="1:37" ht="25.75" customHeight="1" x14ac:dyDescent="0.45">
      <c r="A35" s="338">
        <v>12</v>
      </c>
      <c r="B35" s="340" t="s">
        <v>93</v>
      </c>
      <c r="C35" s="339" t="s">
        <v>45</v>
      </c>
      <c r="D35" s="339" t="s">
        <v>58</v>
      </c>
      <c r="E35" s="350" t="s">
        <v>119</v>
      </c>
      <c r="F35" s="345">
        <v>5.8</v>
      </c>
      <c r="G35" s="307"/>
      <c r="H35" s="76"/>
      <c r="I35" s="76"/>
      <c r="J35" s="76"/>
      <c r="K35" s="76"/>
      <c r="L35" s="307"/>
      <c r="M35" s="76"/>
      <c r="N35" s="321"/>
      <c r="O35" s="313"/>
      <c r="P35" s="313"/>
      <c r="Q35" s="319"/>
      <c r="R35" s="315"/>
      <c r="S35" s="310"/>
      <c r="T35" s="307"/>
      <c r="U35" s="313"/>
      <c r="V35" s="307"/>
      <c r="W35" s="313"/>
      <c r="X35" s="307"/>
      <c r="Y35" s="313"/>
      <c r="Z35" s="307"/>
      <c r="AA35" s="76"/>
      <c r="AB35" s="317"/>
      <c r="AC35" s="76"/>
      <c r="AD35" s="313"/>
      <c r="AE35" s="76"/>
      <c r="AF35" s="313"/>
      <c r="AG35" s="76"/>
      <c r="AH35" s="307"/>
      <c r="AI35" s="307"/>
      <c r="AJ35" s="310"/>
      <c r="AK35" s="310"/>
    </row>
    <row r="36" spans="1:37" ht="25.75" customHeight="1" x14ac:dyDescent="0.45">
      <c r="A36" s="338">
        <v>13</v>
      </c>
      <c r="B36" s="344" t="s">
        <v>42</v>
      </c>
      <c r="C36" s="339" t="s">
        <v>44</v>
      </c>
      <c r="D36" s="339" t="s">
        <v>126</v>
      </c>
      <c r="E36" s="349" t="s">
        <v>105</v>
      </c>
      <c r="F36" s="346">
        <v>3.5</v>
      </c>
      <c r="G36" s="311"/>
      <c r="H36" s="76"/>
      <c r="I36" s="76"/>
      <c r="J36" s="76"/>
      <c r="K36" s="76"/>
      <c r="L36" s="307"/>
      <c r="M36" s="76"/>
      <c r="N36" s="321"/>
      <c r="O36" s="313"/>
      <c r="P36" s="313"/>
      <c r="Q36" s="314"/>
      <c r="R36" s="315"/>
      <c r="S36" s="310"/>
      <c r="T36" s="307"/>
      <c r="U36" s="313"/>
      <c r="V36" s="307"/>
      <c r="W36" s="313"/>
      <c r="X36" s="317"/>
      <c r="Y36" s="76"/>
      <c r="Z36" s="317"/>
      <c r="AA36" s="76"/>
      <c r="AB36" s="317"/>
      <c r="AC36" s="325"/>
      <c r="AD36" s="313"/>
      <c r="AE36" s="325"/>
      <c r="AF36" s="313"/>
      <c r="AG36" s="325"/>
      <c r="AH36" s="307"/>
      <c r="AI36" s="307"/>
      <c r="AJ36" s="310"/>
      <c r="AK36" s="310"/>
    </row>
    <row r="37" spans="1:37" ht="25.75" customHeight="1" x14ac:dyDescent="0.45">
      <c r="A37" s="338">
        <v>14</v>
      </c>
      <c r="B37" s="343" t="s">
        <v>91</v>
      </c>
      <c r="C37" s="339" t="s">
        <v>44</v>
      </c>
      <c r="D37" s="339" t="s">
        <v>121</v>
      </c>
      <c r="E37" s="348" t="s">
        <v>116</v>
      </c>
      <c r="F37" s="346">
        <v>2.1</v>
      </c>
      <c r="G37" s="307"/>
      <c r="H37" s="76"/>
      <c r="I37" s="76"/>
      <c r="J37" s="76"/>
      <c r="K37" s="76"/>
      <c r="L37" s="307"/>
      <c r="M37" s="76"/>
      <c r="N37" s="321"/>
      <c r="O37" s="313"/>
      <c r="P37" s="313"/>
      <c r="Q37" s="319"/>
      <c r="R37" s="315"/>
      <c r="S37" s="310"/>
      <c r="T37" s="307"/>
      <c r="U37" s="313"/>
      <c r="V37" s="307"/>
      <c r="W37" s="313"/>
      <c r="X37" s="317"/>
      <c r="Y37" s="76"/>
      <c r="Z37" s="317"/>
      <c r="AA37" s="76"/>
      <c r="AB37" s="317"/>
      <c r="AC37" s="76"/>
      <c r="AD37" s="313"/>
      <c r="AE37" s="76"/>
      <c r="AF37" s="313"/>
      <c r="AG37" s="76"/>
      <c r="AH37" s="307"/>
      <c r="AI37" s="307"/>
      <c r="AJ37" s="310"/>
      <c r="AK37" s="310"/>
    </row>
    <row r="38" spans="1:37" ht="25.75" customHeight="1" x14ac:dyDescent="0.45">
      <c r="A38" s="338">
        <v>15</v>
      </c>
      <c r="B38" s="343" t="s">
        <v>89</v>
      </c>
      <c r="C38" s="339" t="s">
        <v>44</v>
      </c>
      <c r="D38" s="339" t="s">
        <v>134</v>
      </c>
      <c r="E38" s="349" t="s">
        <v>114</v>
      </c>
      <c r="F38" s="346">
        <v>5.7</v>
      </c>
      <c r="G38" s="307"/>
      <c r="H38" s="76"/>
      <c r="I38" s="76"/>
      <c r="J38" s="76"/>
      <c r="K38" s="76"/>
      <c r="L38" s="307"/>
      <c r="M38" s="76"/>
      <c r="N38" s="321"/>
      <c r="O38" s="313"/>
      <c r="P38" s="313"/>
      <c r="Q38" s="319"/>
      <c r="R38" s="315"/>
      <c r="S38" s="310"/>
      <c r="T38" s="307"/>
      <c r="U38" s="313"/>
      <c r="V38" s="307"/>
      <c r="W38" s="313"/>
      <c r="X38" s="307"/>
      <c r="Y38" s="313"/>
      <c r="Z38" s="307"/>
      <c r="AA38" s="313"/>
      <c r="AB38" s="317"/>
      <c r="AC38" s="76"/>
      <c r="AD38" s="313"/>
      <c r="AE38" s="76"/>
      <c r="AF38" s="313"/>
      <c r="AG38" s="76"/>
      <c r="AH38" s="307"/>
      <c r="AI38" s="307"/>
      <c r="AJ38" s="310"/>
      <c r="AK38" s="310"/>
    </row>
    <row r="39" spans="1:37" ht="25.75" customHeight="1" x14ac:dyDescent="0.45">
      <c r="A39" s="338">
        <v>16</v>
      </c>
      <c r="B39" s="340" t="s">
        <v>42</v>
      </c>
      <c r="C39" s="339" t="s">
        <v>43</v>
      </c>
      <c r="D39" s="339" t="s">
        <v>131</v>
      </c>
      <c r="E39" s="350" t="s">
        <v>110</v>
      </c>
      <c r="F39" s="345">
        <v>7.5</v>
      </c>
      <c r="G39" s="307"/>
      <c r="H39" s="318"/>
      <c r="I39" s="76"/>
      <c r="J39" s="318"/>
      <c r="K39" s="76"/>
      <c r="L39" s="307"/>
      <c r="M39" s="76"/>
      <c r="N39" s="321"/>
      <c r="O39" s="313"/>
      <c r="P39" s="313"/>
      <c r="Q39" s="319"/>
      <c r="R39" s="315"/>
      <c r="S39" s="310"/>
      <c r="T39" s="307"/>
      <c r="U39" s="313"/>
      <c r="V39" s="307"/>
      <c r="W39" s="313"/>
      <c r="X39" s="307"/>
      <c r="Y39" s="313"/>
      <c r="Z39" s="307"/>
      <c r="AA39" s="313"/>
      <c r="AB39" s="317"/>
      <c r="AC39" s="76"/>
      <c r="AD39" s="313"/>
      <c r="AE39" s="76"/>
      <c r="AF39" s="313"/>
      <c r="AG39" s="76"/>
      <c r="AH39" s="307"/>
      <c r="AI39" s="307"/>
      <c r="AJ39" s="310"/>
      <c r="AK39" s="310"/>
    </row>
    <row r="40" spans="1:37" ht="25.75" customHeight="1" x14ac:dyDescent="0.45">
      <c r="A40" s="338">
        <v>17</v>
      </c>
      <c r="B40" s="343" t="s">
        <v>42</v>
      </c>
      <c r="C40" s="339" t="s">
        <v>46</v>
      </c>
      <c r="D40" s="339" t="s">
        <v>125</v>
      </c>
      <c r="E40" s="348" t="s">
        <v>108</v>
      </c>
      <c r="F40" s="346">
        <v>2.5</v>
      </c>
      <c r="G40" s="311"/>
      <c r="H40" s="76"/>
      <c r="I40" s="76"/>
      <c r="J40" s="76"/>
      <c r="K40" s="76"/>
      <c r="L40" s="307"/>
      <c r="M40" s="76"/>
      <c r="N40" s="321"/>
      <c r="O40" s="313"/>
      <c r="P40" s="313"/>
      <c r="Q40" s="319"/>
      <c r="R40" s="315"/>
      <c r="S40" s="310"/>
      <c r="T40" s="307"/>
      <c r="U40" s="313"/>
      <c r="V40" s="307"/>
      <c r="W40" s="313"/>
      <c r="X40" s="307"/>
      <c r="Y40" s="313"/>
      <c r="Z40" s="307"/>
      <c r="AA40" s="313"/>
      <c r="AB40" s="317"/>
      <c r="AC40" s="76"/>
      <c r="AD40" s="313"/>
      <c r="AE40" s="76"/>
      <c r="AF40" s="313"/>
      <c r="AG40" s="76"/>
      <c r="AH40" s="307"/>
      <c r="AI40" s="307"/>
      <c r="AJ40" s="310"/>
      <c r="AK40" s="310"/>
    </row>
    <row r="41" spans="1:37" ht="25.75" customHeight="1" x14ac:dyDescent="0.45">
      <c r="A41" s="338">
        <v>18</v>
      </c>
      <c r="B41" s="343" t="s">
        <v>42</v>
      </c>
      <c r="C41" s="339" t="s">
        <v>45</v>
      </c>
      <c r="D41" s="339" t="s">
        <v>127</v>
      </c>
      <c r="E41" s="349" t="s">
        <v>106</v>
      </c>
      <c r="F41" s="346">
        <v>4.2</v>
      </c>
      <c r="G41" s="307"/>
      <c r="H41" s="76"/>
      <c r="I41" s="76"/>
      <c r="J41" s="76"/>
      <c r="K41" s="76"/>
      <c r="L41" s="307"/>
      <c r="M41" s="76"/>
      <c r="N41" s="321"/>
      <c r="O41" s="313"/>
      <c r="P41" s="313"/>
      <c r="Q41" s="319"/>
      <c r="R41" s="315"/>
      <c r="S41" s="310"/>
      <c r="T41" s="307"/>
      <c r="U41" s="313"/>
      <c r="V41" s="307"/>
      <c r="W41" s="313"/>
      <c r="X41" s="307"/>
      <c r="Y41" s="313"/>
      <c r="Z41" s="317"/>
      <c r="AA41" s="76"/>
      <c r="AB41" s="317"/>
      <c r="AC41" s="76"/>
      <c r="AD41" s="313"/>
      <c r="AE41" s="76"/>
      <c r="AF41" s="313"/>
      <c r="AG41" s="76"/>
      <c r="AH41" s="307"/>
      <c r="AI41" s="307"/>
      <c r="AJ41" s="310"/>
      <c r="AK41" s="310"/>
    </row>
    <row r="42" spans="1:37" ht="25.75" customHeight="1" x14ac:dyDescent="0.45">
      <c r="A42" s="338">
        <v>19</v>
      </c>
      <c r="B42" s="343" t="s">
        <v>42</v>
      </c>
      <c r="C42" s="339" t="s">
        <v>46</v>
      </c>
      <c r="D42" s="339" t="s">
        <v>125</v>
      </c>
      <c r="E42" s="349" t="s">
        <v>102</v>
      </c>
      <c r="F42" s="346">
        <v>3</v>
      </c>
      <c r="G42" s="307"/>
      <c r="H42" s="76"/>
      <c r="I42" s="76"/>
      <c r="J42" s="76"/>
      <c r="K42" s="76"/>
      <c r="L42" s="307"/>
      <c r="M42" s="76"/>
      <c r="N42" s="321"/>
      <c r="O42" s="313"/>
      <c r="P42" s="313"/>
      <c r="Q42" s="319"/>
      <c r="R42" s="315"/>
      <c r="S42" s="310"/>
      <c r="T42" s="307"/>
      <c r="U42" s="313"/>
      <c r="V42" s="307"/>
      <c r="W42" s="313"/>
      <c r="X42" s="307"/>
      <c r="Y42" s="313"/>
      <c r="Z42" s="317"/>
      <c r="AA42" s="76"/>
      <c r="AB42" s="317"/>
      <c r="AC42" s="76"/>
      <c r="AD42" s="313"/>
      <c r="AE42" s="76"/>
      <c r="AF42" s="313"/>
      <c r="AG42" s="76"/>
      <c r="AH42" s="307"/>
      <c r="AI42" s="307"/>
      <c r="AJ42" s="310"/>
      <c r="AK42" s="310"/>
    </row>
    <row r="43" spans="1:37" ht="25.75" customHeight="1" x14ac:dyDescent="0.45">
      <c r="A43" s="338">
        <v>20</v>
      </c>
      <c r="B43" s="343" t="s">
        <v>90</v>
      </c>
      <c r="C43" s="339" t="s">
        <v>44</v>
      </c>
      <c r="D43" s="339" t="s">
        <v>121</v>
      </c>
      <c r="E43" s="351" t="s">
        <v>115</v>
      </c>
      <c r="F43" s="345">
        <v>7.9</v>
      </c>
      <c r="G43" s="307"/>
      <c r="H43" s="76"/>
      <c r="I43" s="76"/>
      <c r="J43" s="76"/>
      <c r="K43" s="76"/>
      <c r="L43" s="307"/>
      <c r="M43" s="76"/>
      <c r="N43" s="321"/>
      <c r="O43" s="313"/>
      <c r="P43" s="313"/>
      <c r="Q43" s="319"/>
      <c r="R43" s="315"/>
      <c r="S43" s="310"/>
      <c r="T43" s="307"/>
      <c r="U43" s="313"/>
      <c r="V43" s="307"/>
      <c r="W43" s="313"/>
      <c r="X43" s="317"/>
      <c r="Y43" s="76"/>
      <c r="Z43" s="317"/>
      <c r="AA43" s="76"/>
      <c r="AB43" s="317"/>
      <c r="AC43" s="76"/>
      <c r="AD43" s="313"/>
      <c r="AE43" s="76"/>
      <c r="AF43" s="313"/>
      <c r="AG43" s="76"/>
      <c r="AH43" s="307"/>
      <c r="AI43" s="307"/>
      <c r="AJ43" s="310"/>
      <c r="AK43" s="310"/>
    </row>
    <row r="44" spans="1:37" ht="25.75" customHeight="1" x14ac:dyDescent="0.45">
      <c r="A44" s="338">
        <v>21</v>
      </c>
      <c r="B44" s="343" t="s">
        <v>42</v>
      </c>
      <c r="C44" s="339" t="s">
        <v>44</v>
      </c>
      <c r="D44" s="339" t="s">
        <v>125</v>
      </c>
      <c r="E44" s="349" t="s">
        <v>103</v>
      </c>
      <c r="F44" s="346">
        <v>8.5</v>
      </c>
      <c r="G44" s="311"/>
      <c r="H44" s="318"/>
      <c r="I44" s="76"/>
      <c r="J44" s="318"/>
      <c r="K44" s="76"/>
      <c r="L44" s="307"/>
      <c r="M44" s="76"/>
      <c r="N44" s="321"/>
      <c r="O44" s="313"/>
      <c r="P44" s="313"/>
      <c r="Q44" s="319"/>
      <c r="R44" s="315"/>
      <c r="S44" s="310"/>
      <c r="T44" s="307"/>
      <c r="U44" s="313"/>
      <c r="V44" s="307"/>
      <c r="W44" s="313"/>
      <c r="X44" s="307"/>
      <c r="Y44" s="313"/>
      <c r="Z44" s="307"/>
      <c r="AA44" s="313"/>
      <c r="AB44" s="317"/>
      <c r="AC44" s="76"/>
      <c r="AD44" s="313"/>
      <c r="AE44" s="76"/>
      <c r="AF44" s="313"/>
      <c r="AG44" s="76"/>
      <c r="AH44" s="307"/>
      <c r="AI44" s="307"/>
      <c r="AJ44" s="310"/>
      <c r="AK44" s="310"/>
    </row>
    <row r="45" spans="1:37" ht="25.75" customHeight="1" x14ac:dyDescent="0.45">
      <c r="A45" s="338">
        <v>22</v>
      </c>
      <c r="B45" s="343" t="s">
        <v>39</v>
      </c>
      <c r="C45" s="339" t="s">
        <v>45</v>
      </c>
      <c r="D45" s="339" t="s">
        <v>57</v>
      </c>
      <c r="E45" s="348" t="s">
        <v>117</v>
      </c>
      <c r="F45" s="345">
        <v>3.55</v>
      </c>
      <c r="G45" s="307"/>
      <c r="H45" s="76"/>
      <c r="I45" s="76"/>
      <c r="J45" s="76"/>
      <c r="K45" s="76"/>
      <c r="L45" s="307"/>
      <c r="M45" s="76"/>
      <c r="N45" s="321"/>
      <c r="O45" s="313"/>
      <c r="P45" s="313"/>
      <c r="Q45" s="319"/>
      <c r="R45" s="315"/>
      <c r="S45" s="310"/>
      <c r="T45" s="307"/>
      <c r="U45" s="313"/>
      <c r="V45" s="307"/>
      <c r="W45" s="313"/>
      <c r="X45" s="317"/>
      <c r="Y45" s="76"/>
      <c r="Z45" s="317"/>
      <c r="AA45" s="76"/>
      <c r="AB45" s="317"/>
      <c r="AC45" s="76"/>
      <c r="AD45" s="313"/>
      <c r="AE45" s="76"/>
      <c r="AF45" s="313"/>
      <c r="AG45" s="76"/>
      <c r="AH45" s="307"/>
      <c r="AI45" s="307"/>
      <c r="AJ45" s="310"/>
      <c r="AK45" s="310"/>
    </row>
    <row r="46" spans="1:37" ht="25.75" customHeight="1" x14ac:dyDescent="0.45">
      <c r="A46" s="338">
        <v>23</v>
      </c>
      <c r="B46" s="343" t="s">
        <v>42</v>
      </c>
      <c r="C46" s="339" t="s">
        <v>95</v>
      </c>
      <c r="D46" s="339" t="s">
        <v>128</v>
      </c>
      <c r="E46" s="348" t="s">
        <v>107</v>
      </c>
      <c r="F46" s="345">
        <v>5</v>
      </c>
      <c r="G46" s="311"/>
      <c r="H46" s="318"/>
      <c r="I46" s="76"/>
      <c r="J46" s="318"/>
      <c r="K46" s="76"/>
      <c r="L46" s="307"/>
      <c r="M46" s="76"/>
      <c r="N46" s="321"/>
      <c r="O46" s="313"/>
      <c r="P46" s="313"/>
      <c r="Q46" s="319"/>
      <c r="R46" s="315"/>
      <c r="S46" s="310"/>
      <c r="T46" s="307"/>
      <c r="U46" s="313"/>
      <c r="V46" s="307"/>
      <c r="W46" s="313"/>
      <c r="X46" s="307"/>
      <c r="Y46" s="313"/>
      <c r="Z46" s="307"/>
      <c r="AA46" s="313"/>
      <c r="AB46" s="317"/>
      <c r="AC46" s="76"/>
      <c r="AD46" s="313"/>
      <c r="AE46" s="313"/>
      <c r="AF46" s="313"/>
      <c r="AG46" s="76"/>
      <c r="AH46" s="307"/>
      <c r="AI46" s="307"/>
      <c r="AJ46" s="310"/>
      <c r="AK46" s="310"/>
    </row>
    <row r="47" spans="1:37" ht="25.75" customHeight="1" x14ac:dyDescent="0.45">
      <c r="A47" s="338">
        <v>24</v>
      </c>
      <c r="B47" s="343" t="s">
        <v>41</v>
      </c>
      <c r="C47" s="339" t="s">
        <v>46</v>
      </c>
      <c r="D47" s="339" t="s">
        <v>133</v>
      </c>
      <c r="E47" s="348" t="s">
        <v>113</v>
      </c>
      <c r="F47" s="346">
        <v>4</v>
      </c>
      <c r="G47" s="311"/>
      <c r="H47" s="76"/>
      <c r="I47" s="76"/>
      <c r="J47" s="76"/>
      <c r="K47" s="76"/>
      <c r="L47" s="307"/>
      <c r="M47" s="76"/>
      <c r="N47" s="321"/>
      <c r="O47" s="313"/>
      <c r="P47" s="313"/>
      <c r="Q47" s="319"/>
      <c r="R47" s="315"/>
      <c r="S47" s="310"/>
      <c r="T47" s="307"/>
      <c r="U47" s="313"/>
      <c r="V47" s="307"/>
      <c r="W47" s="313"/>
      <c r="X47" s="307"/>
      <c r="Y47" s="313"/>
      <c r="Z47" s="317"/>
      <c r="AA47" s="76"/>
      <c r="AB47" s="317"/>
      <c r="AC47" s="76"/>
      <c r="AD47" s="313"/>
      <c r="AE47" s="313"/>
      <c r="AF47" s="313"/>
      <c r="AG47" s="76"/>
      <c r="AH47" s="307"/>
      <c r="AI47" s="307"/>
      <c r="AJ47" s="310"/>
      <c r="AK47" s="310"/>
    </row>
    <row r="48" spans="1:37" ht="25.75" customHeight="1" x14ac:dyDescent="0.45">
      <c r="A48" s="338">
        <v>25</v>
      </c>
      <c r="B48" s="338" t="s">
        <v>87</v>
      </c>
      <c r="C48" s="339" t="s">
        <v>94</v>
      </c>
      <c r="D48" s="339" t="s">
        <v>94</v>
      </c>
      <c r="E48" s="352" t="s">
        <v>111</v>
      </c>
      <c r="F48" s="346">
        <v>8</v>
      </c>
      <c r="G48" s="307"/>
      <c r="H48" s="76"/>
      <c r="I48" s="76"/>
      <c r="J48" s="76"/>
      <c r="K48" s="76"/>
      <c r="L48" s="307"/>
      <c r="M48" s="76"/>
      <c r="N48" s="321"/>
      <c r="O48" s="313"/>
      <c r="P48" s="313"/>
      <c r="Q48" s="319"/>
      <c r="R48" s="315"/>
      <c r="S48" s="310"/>
      <c r="T48" s="307"/>
      <c r="U48" s="313"/>
      <c r="V48" s="307"/>
      <c r="W48" s="313"/>
      <c r="X48" s="307"/>
      <c r="Y48" s="313"/>
      <c r="Z48" s="307"/>
      <c r="AA48" s="313"/>
      <c r="AB48" s="317"/>
      <c r="AC48" s="76"/>
      <c r="AD48" s="313"/>
      <c r="AE48" s="313"/>
      <c r="AF48" s="313"/>
      <c r="AG48" s="76"/>
      <c r="AH48" s="307"/>
      <c r="AI48" s="307"/>
      <c r="AJ48" s="310"/>
      <c r="AK48" s="310"/>
    </row>
    <row r="49" spans="1:37" ht="25.75" customHeight="1" x14ac:dyDescent="0.45">
      <c r="A49" s="338">
        <v>26</v>
      </c>
      <c r="B49" s="343" t="s">
        <v>42</v>
      </c>
      <c r="C49" s="339" t="s">
        <v>46</v>
      </c>
      <c r="D49" s="339" t="s">
        <v>125</v>
      </c>
      <c r="E49" s="349" t="s">
        <v>104</v>
      </c>
      <c r="F49" s="345">
        <v>3.05</v>
      </c>
      <c r="G49" s="307"/>
      <c r="H49" s="318"/>
      <c r="I49" s="76"/>
      <c r="J49" s="318"/>
      <c r="K49" s="76"/>
      <c r="L49" s="307"/>
      <c r="M49" s="76"/>
      <c r="N49" s="321"/>
      <c r="O49" s="313"/>
      <c r="P49" s="313"/>
      <c r="Q49" s="319"/>
      <c r="R49" s="315"/>
      <c r="S49" s="310"/>
      <c r="T49" s="307"/>
      <c r="U49" s="313"/>
      <c r="V49" s="307"/>
      <c r="W49" s="313"/>
      <c r="X49" s="307"/>
      <c r="Y49" s="313"/>
      <c r="Z49" s="307"/>
      <c r="AA49" s="313"/>
      <c r="AB49" s="317"/>
      <c r="AC49" s="76"/>
      <c r="AD49" s="313"/>
      <c r="AE49" s="313"/>
      <c r="AF49" s="313"/>
      <c r="AG49" s="76"/>
      <c r="AH49" s="307"/>
      <c r="AI49" s="307"/>
      <c r="AJ49" s="310"/>
      <c r="AK49" s="310"/>
    </row>
    <row r="50" spans="1:37" ht="25.75" customHeight="1" x14ac:dyDescent="0.45">
      <c r="A50" s="338">
        <v>27</v>
      </c>
      <c r="B50" s="343" t="s">
        <v>155</v>
      </c>
      <c r="C50" s="339" t="s">
        <v>44</v>
      </c>
      <c r="D50" s="339" t="s">
        <v>156</v>
      </c>
      <c r="E50" s="349" t="s">
        <v>157</v>
      </c>
      <c r="F50" s="345">
        <v>2.5</v>
      </c>
      <c r="G50" s="307"/>
      <c r="H50" s="318"/>
      <c r="I50" s="76"/>
      <c r="J50" s="318"/>
      <c r="K50" s="76"/>
      <c r="L50" s="307"/>
      <c r="M50" s="76"/>
      <c r="N50" s="321"/>
      <c r="O50" s="313"/>
      <c r="P50" s="313"/>
      <c r="Q50" s="319"/>
      <c r="R50" s="315"/>
      <c r="S50" s="310"/>
      <c r="T50" s="307"/>
      <c r="U50" s="313"/>
      <c r="V50" s="307"/>
      <c r="W50" s="313"/>
      <c r="X50" s="307"/>
      <c r="Y50" s="313"/>
      <c r="Z50" s="307"/>
      <c r="AA50" s="313"/>
      <c r="AB50" s="317"/>
      <c r="AC50" s="76"/>
      <c r="AD50" s="313"/>
      <c r="AE50" s="313"/>
      <c r="AF50" s="313"/>
      <c r="AG50" s="76"/>
      <c r="AH50" s="307"/>
      <c r="AI50" s="307"/>
      <c r="AJ50" s="310"/>
      <c r="AK50" s="310"/>
    </row>
    <row r="51" spans="1:37" ht="25.75" customHeight="1" x14ac:dyDescent="0.45">
      <c r="A51" s="338">
        <v>28</v>
      </c>
      <c r="B51" s="343" t="s">
        <v>155</v>
      </c>
      <c r="C51" s="339" t="s">
        <v>95</v>
      </c>
      <c r="D51" s="339" t="s">
        <v>128</v>
      </c>
      <c r="E51" s="349" t="s">
        <v>163</v>
      </c>
      <c r="F51" s="345">
        <v>5</v>
      </c>
      <c r="G51" s="307"/>
      <c r="H51" s="318"/>
      <c r="I51" s="76"/>
      <c r="J51" s="318"/>
      <c r="K51" s="76"/>
      <c r="L51" s="307"/>
      <c r="M51" s="76"/>
      <c r="N51" s="321"/>
      <c r="O51" s="313"/>
      <c r="P51" s="313"/>
      <c r="Q51" s="319"/>
      <c r="R51" s="315"/>
      <c r="S51" s="310"/>
      <c r="T51" s="307"/>
      <c r="U51" s="313"/>
      <c r="V51" s="307"/>
      <c r="W51" s="313"/>
      <c r="X51" s="307"/>
      <c r="Y51" s="313"/>
      <c r="Z51" s="307"/>
      <c r="AA51" s="313"/>
      <c r="AB51" s="317"/>
      <c r="AC51" s="76"/>
      <c r="AD51" s="313"/>
      <c r="AE51" s="313"/>
      <c r="AF51" s="313"/>
      <c r="AG51" s="76"/>
      <c r="AH51" s="307"/>
      <c r="AI51" s="307"/>
      <c r="AJ51" s="310"/>
      <c r="AK51" s="310"/>
    </row>
    <row r="52" spans="1:37" ht="25.75" customHeight="1" x14ac:dyDescent="0.35">
      <c r="A52" s="90"/>
      <c r="B52" s="353"/>
      <c r="C52" s="354"/>
      <c r="D52" s="354"/>
      <c r="E52" s="368" t="s">
        <v>158</v>
      </c>
      <c r="F52" s="369">
        <f>SUM(F24:F51)</f>
        <v>131.05000000000001</v>
      </c>
      <c r="G52" s="307"/>
      <c r="H52" s="318"/>
      <c r="I52" s="76"/>
      <c r="J52" s="318"/>
      <c r="K52" s="76"/>
      <c r="L52" s="307"/>
      <c r="M52" s="76"/>
      <c r="N52" s="321"/>
      <c r="O52" s="313"/>
      <c r="P52" s="313"/>
      <c r="Q52" s="319"/>
      <c r="R52" s="315"/>
      <c r="S52" s="310"/>
      <c r="T52" s="307"/>
      <c r="U52" s="313"/>
      <c r="V52" s="307"/>
      <c r="W52" s="313"/>
      <c r="X52" s="307"/>
      <c r="Y52" s="313"/>
      <c r="Z52" s="307"/>
      <c r="AA52" s="313"/>
      <c r="AB52" s="317"/>
      <c r="AC52" s="76"/>
      <c r="AD52" s="313"/>
      <c r="AE52" s="313"/>
      <c r="AF52" s="313"/>
      <c r="AG52" s="76"/>
      <c r="AH52" s="307"/>
      <c r="AI52" s="307"/>
      <c r="AJ52" s="310"/>
      <c r="AK52" s="310"/>
    </row>
    <row r="53" spans="1:37" ht="22.25" customHeight="1" x14ac:dyDescent="0.3">
      <c r="A53" s="70"/>
      <c r="B53" s="70"/>
      <c r="C53" s="70"/>
      <c r="D53" s="70"/>
      <c r="E53" s="336"/>
      <c r="F53" s="307"/>
      <c r="G53" s="307"/>
      <c r="H53" s="307"/>
      <c r="I53" s="308"/>
      <c r="J53" s="307"/>
      <c r="K53" s="307"/>
      <c r="L53" s="307"/>
      <c r="M53" s="307"/>
      <c r="N53" s="307"/>
      <c r="O53" s="307"/>
      <c r="P53" s="307"/>
      <c r="Q53" s="307"/>
      <c r="R53" s="309"/>
      <c r="S53" s="326"/>
      <c r="T53" s="307"/>
      <c r="U53" s="307"/>
      <c r="V53" s="317"/>
      <c r="W53" s="327"/>
      <c r="X53" s="317"/>
      <c r="Y53" s="312"/>
      <c r="Z53" s="317"/>
      <c r="AA53" s="312"/>
      <c r="AB53" s="317"/>
      <c r="AC53" s="313"/>
      <c r="AD53" s="313"/>
      <c r="AE53" s="313"/>
      <c r="AF53" s="313"/>
      <c r="AG53" s="313"/>
      <c r="AH53" s="328"/>
      <c r="AI53" s="328"/>
      <c r="AJ53" s="310"/>
      <c r="AK53" s="310"/>
    </row>
    <row r="54" spans="1:37" x14ac:dyDescent="0.3">
      <c r="A54" s="70"/>
      <c r="B54" s="70"/>
      <c r="C54" s="70"/>
      <c r="D54" s="70"/>
      <c r="E54" s="336"/>
      <c r="F54" s="307"/>
      <c r="G54" s="307"/>
      <c r="H54" s="307"/>
      <c r="I54" s="308"/>
      <c r="J54" s="307"/>
      <c r="K54" s="307"/>
      <c r="L54" s="307"/>
      <c r="M54" s="307"/>
      <c r="N54" s="307"/>
      <c r="O54" s="307"/>
      <c r="P54" s="307"/>
      <c r="Q54" s="307"/>
      <c r="R54" s="309"/>
      <c r="S54" s="326"/>
      <c r="T54" s="317"/>
      <c r="U54" s="307"/>
      <c r="V54" s="307"/>
      <c r="W54" s="307"/>
      <c r="X54" s="307"/>
      <c r="Y54" s="307"/>
      <c r="Z54" s="307"/>
      <c r="AA54" s="307"/>
      <c r="AB54" s="317"/>
      <c r="AC54" s="313"/>
      <c r="AD54" s="313"/>
      <c r="AE54" s="313"/>
      <c r="AF54" s="313"/>
      <c r="AG54" s="313"/>
      <c r="AH54" s="328"/>
      <c r="AI54" s="328"/>
      <c r="AJ54" s="310"/>
      <c r="AK54" s="310"/>
    </row>
    <row r="55" spans="1:37" x14ac:dyDescent="0.3">
      <c r="A55" s="70"/>
      <c r="B55" s="70"/>
      <c r="C55" s="70"/>
      <c r="D55" s="70"/>
      <c r="E55" s="336"/>
      <c r="F55" s="307"/>
      <c r="G55" s="307"/>
      <c r="H55" s="307"/>
      <c r="I55" s="308"/>
      <c r="J55" s="307"/>
      <c r="K55" s="307"/>
      <c r="L55" s="307"/>
      <c r="M55" s="307"/>
      <c r="N55" s="307"/>
      <c r="O55" s="307"/>
      <c r="P55" s="307"/>
      <c r="Q55" s="307"/>
      <c r="R55" s="309"/>
      <c r="S55" s="326"/>
      <c r="T55" s="309"/>
      <c r="U55" s="329"/>
      <c r="V55" s="309"/>
      <c r="W55" s="313"/>
      <c r="X55" s="309"/>
      <c r="Y55" s="313"/>
      <c r="Z55" s="309"/>
      <c r="AA55" s="313"/>
      <c r="AB55" s="309"/>
      <c r="AC55" s="313"/>
      <c r="AD55" s="313"/>
      <c r="AE55" s="313"/>
      <c r="AF55" s="313"/>
      <c r="AG55" s="313"/>
      <c r="AH55" s="328"/>
      <c r="AI55" s="328"/>
      <c r="AJ55" s="310"/>
      <c r="AK55" s="310"/>
    </row>
    <row r="56" spans="1:37" x14ac:dyDescent="0.4">
      <c r="G56" s="307"/>
      <c r="H56" s="307"/>
      <c r="I56" s="308"/>
      <c r="J56" s="307"/>
      <c r="K56" s="307"/>
      <c r="L56" s="307"/>
      <c r="M56" s="307"/>
      <c r="N56" s="307"/>
      <c r="O56" s="307"/>
      <c r="P56" s="307"/>
      <c r="Q56" s="307"/>
      <c r="R56" s="309"/>
      <c r="S56" s="326"/>
      <c r="T56" s="328"/>
      <c r="U56" s="330"/>
      <c r="V56" s="330"/>
      <c r="W56" s="330"/>
      <c r="X56" s="330"/>
      <c r="Y56" s="330"/>
      <c r="Z56" s="330"/>
      <c r="AA56" s="330"/>
      <c r="AB56" s="330"/>
      <c r="AC56" s="330"/>
      <c r="AD56" s="330"/>
      <c r="AE56" s="330"/>
      <c r="AF56" s="330"/>
      <c r="AG56" s="330"/>
      <c r="AH56" s="328"/>
      <c r="AI56" s="331"/>
      <c r="AJ56" s="310"/>
      <c r="AK56" s="310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H51"/>
  <sheetViews>
    <sheetView zoomScale="70" zoomScaleNormal="70" workbookViewId="0">
      <pane xSplit="13" ySplit="7" topLeftCell="N8" activePane="bottomRight" state="frozen"/>
      <selection pane="topRight" activeCell="N1" sqref="N1"/>
      <selection pane="bottomLeft" activeCell="A8" sqref="A8"/>
      <selection pane="bottomRight" activeCell="E9" sqref="E9"/>
    </sheetView>
  </sheetViews>
  <sheetFormatPr defaultColWidth="8.81640625" defaultRowHeight="14" x14ac:dyDescent="0.3"/>
  <cols>
    <col min="1" max="1" width="3.90625" style="1" customWidth="1"/>
    <col min="2" max="2" width="11.6328125" style="1" customWidth="1"/>
    <col min="3" max="3" width="11.1796875" style="1" customWidth="1"/>
    <col min="4" max="4" width="17.81640625" style="1" customWidth="1"/>
    <col min="5" max="5" width="40.36328125" style="1" customWidth="1"/>
    <col min="6" max="6" width="11.1796875" style="1" customWidth="1"/>
    <col min="7" max="7" width="12.6328125" style="1" customWidth="1"/>
    <col min="8" max="8" width="12.1796875" style="1" customWidth="1"/>
    <col min="9" max="9" width="12.08984375" style="15" customWidth="1"/>
    <col min="10" max="13" width="10.36328125" style="1" customWidth="1"/>
    <col min="14" max="14" width="11.54296875" style="1" bestFit="1" customWidth="1"/>
    <col min="15" max="15" width="12.6328125" style="1" customWidth="1"/>
    <col min="16" max="16" width="8.81640625" style="1"/>
    <col min="17" max="17" width="11" style="1" customWidth="1"/>
    <col min="18" max="18" width="13.08984375" style="7" customWidth="1"/>
    <col min="19" max="32" width="9.90625" style="1" customWidth="1"/>
    <col min="33" max="33" width="19" style="1" customWidth="1"/>
    <col min="34" max="34" width="12.54296875" style="1" customWidth="1"/>
    <col min="35" max="16384" width="8.81640625" style="1"/>
  </cols>
  <sheetData>
    <row r="1" spans="1:34" x14ac:dyDescent="0.3">
      <c r="L1" s="1">
        <f>((3.14*2^2)/4)/2</f>
        <v>1.57</v>
      </c>
    </row>
    <row r="2" spans="1:34" ht="14" customHeight="1" x14ac:dyDescent="0.3">
      <c r="A2" s="895" t="s">
        <v>33</v>
      </c>
      <c r="B2" s="895" t="s">
        <v>34</v>
      </c>
      <c r="C2" s="898" t="s">
        <v>0</v>
      </c>
      <c r="D2" s="899" t="s">
        <v>1</v>
      </c>
      <c r="E2" s="899" t="s">
        <v>2</v>
      </c>
      <c r="F2" s="900" t="s">
        <v>3</v>
      </c>
      <c r="G2" s="900"/>
      <c r="H2" s="903" t="s">
        <v>26</v>
      </c>
      <c r="I2" s="903"/>
      <c r="J2" s="904" t="s">
        <v>27</v>
      </c>
      <c r="K2" s="904" t="s">
        <v>28</v>
      </c>
      <c r="L2" s="909" t="s">
        <v>32</v>
      </c>
      <c r="M2" s="906" t="s">
        <v>6</v>
      </c>
      <c r="N2" s="878" t="s">
        <v>29</v>
      </c>
      <c r="O2" s="879" t="s">
        <v>30</v>
      </c>
      <c r="P2" s="912" t="s">
        <v>136</v>
      </c>
      <c r="Q2" s="905" t="s">
        <v>9</v>
      </c>
      <c r="R2" s="905"/>
      <c r="S2" s="880" t="s">
        <v>31</v>
      </c>
      <c r="T2" s="881"/>
      <c r="U2" s="881"/>
      <c r="V2" s="881"/>
      <c r="W2" s="881"/>
      <c r="X2" s="881"/>
      <c r="Y2" s="881"/>
      <c r="Z2" s="881"/>
      <c r="AA2" s="881"/>
      <c r="AB2" s="881"/>
      <c r="AC2" s="881"/>
      <c r="AD2" s="881"/>
      <c r="AE2" s="881"/>
      <c r="AF2" s="881"/>
      <c r="AG2" s="881"/>
      <c r="AH2" s="882"/>
    </row>
    <row r="3" spans="1:34" x14ac:dyDescent="0.3">
      <c r="A3" s="896"/>
      <c r="B3" s="896"/>
      <c r="C3" s="898"/>
      <c r="D3" s="899"/>
      <c r="E3" s="899"/>
      <c r="F3" s="900"/>
      <c r="G3" s="900"/>
      <c r="H3" s="903"/>
      <c r="I3" s="903"/>
      <c r="J3" s="904"/>
      <c r="K3" s="904"/>
      <c r="L3" s="910"/>
      <c r="M3" s="906"/>
      <c r="N3" s="878"/>
      <c r="O3" s="879"/>
      <c r="P3" s="912"/>
      <c r="Q3" s="905"/>
      <c r="R3" s="905"/>
      <c r="S3" s="893" t="s">
        <v>21</v>
      </c>
      <c r="T3" s="893"/>
      <c r="U3" s="893"/>
      <c r="V3" s="893"/>
      <c r="W3" s="894" t="s">
        <v>22</v>
      </c>
      <c r="X3" s="894"/>
      <c r="Y3" s="894"/>
      <c r="Z3" s="894"/>
      <c r="AA3" s="869" t="s">
        <v>19</v>
      </c>
      <c r="AB3" s="869"/>
      <c r="AC3" s="869"/>
      <c r="AD3" s="869"/>
      <c r="AE3" s="869"/>
      <c r="AF3" s="869"/>
      <c r="AG3" s="82"/>
      <c r="AH3" s="83"/>
    </row>
    <row r="4" spans="1:34" x14ac:dyDescent="0.3">
      <c r="A4" s="896"/>
      <c r="B4" s="896"/>
      <c r="C4" s="898"/>
      <c r="D4" s="899"/>
      <c r="E4" s="899"/>
      <c r="F4" s="901" t="s">
        <v>4</v>
      </c>
      <c r="G4" s="901" t="s">
        <v>5</v>
      </c>
      <c r="H4" s="902" t="s">
        <v>7</v>
      </c>
      <c r="I4" s="17" t="s">
        <v>14</v>
      </c>
      <c r="J4" s="904"/>
      <c r="K4" s="904"/>
      <c r="L4" s="910"/>
      <c r="M4" s="906"/>
      <c r="N4" s="878"/>
      <c r="O4" s="879"/>
      <c r="P4" s="912"/>
      <c r="Q4" s="907" t="s">
        <v>10</v>
      </c>
      <c r="R4" s="908" t="s">
        <v>11</v>
      </c>
      <c r="S4" s="883">
        <v>2021</v>
      </c>
      <c r="T4" s="884"/>
      <c r="U4" s="883">
        <v>2022</v>
      </c>
      <c r="V4" s="884"/>
      <c r="W4" s="887">
        <v>2023</v>
      </c>
      <c r="X4" s="888"/>
      <c r="Y4" s="887">
        <v>2024</v>
      </c>
      <c r="Z4" s="888"/>
      <c r="AA4" s="887">
        <v>2025</v>
      </c>
      <c r="AB4" s="888"/>
      <c r="AC4" s="874">
        <v>2026</v>
      </c>
      <c r="AD4" s="875"/>
      <c r="AE4" s="874">
        <v>2027</v>
      </c>
      <c r="AF4" s="875"/>
      <c r="AG4" s="889" t="s">
        <v>11</v>
      </c>
      <c r="AH4" s="890"/>
    </row>
    <row r="5" spans="1:34" x14ac:dyDescent="0.3">
      <c r="A5" s="896"/>
      <c r="B5" s="896"/>
      <c r="C5" s="898"/>
      <c r="D5" s="899"/>
      <c r="E5" s="899"/>
      <c r="F5" s="901"/>
      <c r="G5" s="901"/>
      <c r="H5" s="902"/>
      <c r="I5" s="18" t="s">
        <v>15</v>
      </c>
      <c r="J5" s="904"/>
      <c r="K5" s="904"/>
      <c r="L5" s="910"/>
      <c r="M5" s="906"/>
      <c r="N5" s="878"/>
      <c r="O5" s="879"/>
      <c r="P5" s="912"/>
      <c r="Q5" s="907"/>
      <c r="R5" s="908"/>
      <c r="S5" s="885"/>
      <c r="T5" s="886"/>
      <c r="U5" s="885"/>
      <c r="V5" s="886"/>
      <c r="W5" s="876"/>
      <c r="X5" s="877"/>
      <c r="Y5" s="876"/>
      <c r="Z5" s="877"/>
      <c r="AA5" s="876"/>
      <c r="AB5" s="877"/>
      <c r="AC5" s="876"/>
      <c r="AD5" s="877"/>
      <c r="AE5" s="876"/>
      <c r="AF5" s="877"/>
      <c r="AG5" s="891"/>
      <c r="AH5" s="892"/>
    </row>
    <row r="6" spans="1:34" ht="14.5" customHeight="1" x14ac:dyDescent="0.3">
      <c r="A6" s="896"/>
      <c r="B6" s="896"/>
      <c r="C6" s="898"/>
      <c r="D6" s="899"/>
      <c r="E6" s="899"/>
      <c r="F6" s="901"/>
      <c r="G6" s="901"/>
      <c r="H6" s="902"/>
      <c r="I6" s="19" t="s">
        <v>16</v>
      </c>
      <c r="J6" s="904"/>
      <c r="K6" s="904"/>
      <c r="L6" s="910"/>
      <c r="M6" s="906"/>
      <c r="N6" s="878"/>
      <c r="O6" s="879"/>
      <c r="P6" s="912"/>
      <c r="Q6" s="907"/>
      <c r="R6" s="908"/>
      <c r="S6" s="870" t="s">
        <v>12</v>
      </c>
      <c r="T6" s="870" t="s">
        <v>13</v>
      </c>
      <c r="U6" s="870" t="s">
        <v>12</v>
      </c>
      <c r="V6" s="870" t="s">
        <v>13</v>
      </c>
      <c r="W6" s="870" t="s">
        <v>12</v>
      </c>
      <c r="X6" s="870" t="s">
        <v>13</v>
      </c>
      <c r="Y6" s="870" t="s">
        <v>12</v>
      </c>
      <c r="Z6" s="870" t="s">
        <v>13</v>
      </c>
      <c r="AA6" s="870" t="s">
        <v>12</v>
      </c>
      <c r="AB6" s="872" t="s">
        <v>13</v>
      </c>
      <c r="AC6" s="870" t="s">
        <v>12</v>
      </c>
      <c r="AD6" s="872" t="s">
        <v>13</v>
      </c>
      <c r="AE6" s="870" t="s">
        <v>12</v>
      </c>
      <c r="AF6" s="872" t="s">
        <v>13</v>
      </c>
      <c r="AG6" s="870" t="s">
        <v>12</v>
      </c>
      <c r="AH6" s="870" t="s">
        <v>13</v>
      </c>
    </row>
    <row r="7" spans="1:34" ht="19.5" customHeight="1" x14ac:dyDescent="0.3">
      <c r="A7" s="897"/>
      <c r="B7" s="897"/>
      <c r="C7" s="898"/>
      <c r="D7" s="899"/>
      <c r="E7" s="899"/>
      <c r="F7" s="901"/>
      <c r="G7" s="901"/>
      <c r="H7" s="902"/>
      <c r="I7" s="14"/>
      <c r="J7" s="904"/>
      <c r="K7" s="904"/>
      <c r="L7" s="911"/>
      <c r="M7" s="906"/>
      <c r="N7" s="878"/>
      <c r="O7" s="879"/>
      <c r="P7" s="912"/>
      <c r="Q7" s="907"/>
      <c r="R7" s="908"/>
      <c r="S7" s="871"/>
      <c r="T7" s="871"/>
      <c r="U7" s="871"/>
      <c r="V7" s="871"/>
      <c r="W7" s="871"/>
      <c r="X7" s="871"/>
      <c r="Y7" s="871"/>
      <c r="Z7" s="871"/>
      <c r="AA7" s="871"/>
      <c r="AB7" s="873"/>
      <c r="AC7" s="871"/>
      <c r="AD7" s="873"/>
      <c r="AE7" s="871"/>
      <c r="AF7" s="873"/>
      <c r="AG7" s="871"/>
      <c r="AH7" s="871"/>
    </row>
    <row r="8" spans="1:34" ht="14.5" x14ac:dyDescent="0.35">
      <c r="A8" s="20">
        <v>1</v>
      </c>
      <c r="B8" s="21" t="s">
        <v>35</v>
      </c>
      <c r="C8" s="2" t="s">
        <v>43</v>
      </c>
      <c r="D8" s="2" t="s">
        <v>47</v>
      </c>
      <c r="E8" s="28" t="s">
        <v>63</v>
      </c>
      <c r="F8" s="86"/>
      <c r="G8" s="85"/>
      <c r="H8" s="2" t="s">
        <v>82</v>
      </c>
      <c r="I8" s="35" t="s">
        <v>85</v>
      </c>
      <c r="J8" s="21">
        <v>1924</v>
      </c>
      <c r="K8" s="21">
        <v>52.84</v>
      </c>
      <c r="L8" s="16">
        <f>(M8*2)+$L$1</f>
        <v>15.57</v>
      </c>
      <c r="M8" s="21">
        <v>7</v>
      </c>
      <c r="N8" s="3"/>
      <c r="O8" s="3"/>
      <c r="P8" s="10"/>
      <c r="Q8" s="43"/>
      <c r="R8" s="13"/>
      <c r="S8" s="74"/>
      <c r="T8" s="35">
        <v>7</v>
      </c>
      <c r="U8" s="75"/>
      <c r="V8" s="38">
        <v>7</v>
      </c>
      <c r="W8" s="75"/>
      <c r="X8" s="38">
        <v>7</v>
      </c>
      <c r="Y8" s="75"/>
      <c r="Z8" s="38">
        <v>7</v>
      </c>
      <c r="AA8" s="75"/>
      <c r="AB8" s="35">
        <v>7</v>
      </c>
      <c r="AC8" s="6"/>
      <c r="AD8" s="38">
        <v>7</v>
      </c>
      <c r="AE8" s="6"/>
      <c r="AF8" s="38">
        <v>7</v>
      </c>
      <c r="AG8" s="5"/>
      <c r="AH8" s="2"/>
    </row>
    <row r="9" spans="1:34" ht="14.5" x14ac:dyDescent="0.35">
      <c r="A9" s="22">
        <v>2</v>
      </c>
      <c r="B9" s="23" t="s">
        <v>36</v>
      </c>
      <c r="C9" s="2" t="s">
        <v>43</v>
      </c>
      <c r="D9" s="2" t="s">
        <v>48</v>
      </c>
      <c r="E9" s="29" t="s">
        <v>64</v>
      </c>
      <c r="F9" s="85"/>
      <c r="G9" s="85"/>
      <c r="H9" s="2" t="s">
        <v>82</v>
      </c>
      <c r="I9" s="36" t="s">
        <v>85</v>
      </c>
      <c r="J9" s="39">
        <f>1210+1260+902</f>
        <v>3372</v>
      </c>
      <c r="K9" s="39">
        <f>71.5+36.38</f>
        <v>107.88</v>
      </c>
      <c r="L9" s="16">
        <f>(M9*2)+$L$1</f>
        <v>14.57</v>
      </c>
      <c r="M9" s="26">
        <v>6.5</v>
      </c>
      <c r="N9" s="3"/>
      <c r="O9" s="3"/>
      <c r="P9" s="10"/>
      <c r="Q9" s="44"/>
      <c r="R9" s="13"/>
      <c r="S9" s="74"/>
      <c r="T9" s="36">
        <v>6.5</v>
      </c>
      <c r="U9" s="75"/>
      <c r="V9" s="41">
        <v>6.5</v>
      </c>
      <c r="W9" s="75"/>
      <c r="X9" s="41">
        <v>6.5</v>
      </c>
      <c r="Y9" s="75"/>
      <c r="Z9" s="41">
        <v>6.5</v>
      </c>
      <c r="AA9" s="75"/>
      <c r="AB9" s="36">
        <v>6.5</v>
      </c>
      <c r="AC9" s="6"/>
      <c r="AD9" s="41">
        <v>6.5</v>
      </c>
      <c r="AE9" s="6"/>
      <c r="AF9" s="41">
        <v>6.5</v>
      </c>
      <c r="AG9" s="5"/>
      <c r="AH9" s="2"/>
    </row>
    <row r="10" spans="1:34" ht="14.5" x14ac:dyDescent="0.35">
      <c r="A10" s="24">
        <v>3</v>
      </c>
      <c r="B10" s="25" t="s">
        <v>37</v>
      </c>
      <c r="C10" s="2" t="s">
        <v>44</v>
      </c>
      <c r="D10" s="2" t="s">
        <v>49</v>
      </c>
      <c r="E10" s="29" t="s">
        <v>65</v>
      </c>
      <c r="F10" s="85"/>
      <c r="G10" s="85"/>
      <c r="H10" s="2" t="s">
        <v>82</v>
      </c>
      <c r="I10" s="36" t="s">
        <v>85</v>
      </c>
      <c r="J10" s="26">
        <v>1029</v>
      </c>
      <c r="K10" s="26">
        <v>23.18</v>
      </c>
      <c r="L10" s="16">
        <f t="shared" ref="L10:L25" si="0">(M10*2)+$L$1</f>
        <v>22.57</v>
      </c>
      <c r="M10" s="26">
        <v>10.5</v>
      </c>
      <c r="N10" s="3"/>
      <c r="O10" s="3"/>
      <c r="P10" s="10"/>
      <c r="Q10" s="44"/>
      <c r="R10" s="13"/>
      <c r="S10" s="74"/>
      <c r="T10" s="36">
        <v>10.5</v>
      </c>
      <c r="U10" s="75"/>
      <c r="V10" s="41">
        <v>10.5</v>
      </c>
      <c r="W10" s="75"/>
      <c r="X10" s="41">
        <v>10.5</v>
      </c>
      <c r="Y10" s="75"/>
      <c r="Z10" s="41">
        <v>10.5</v>
      </c>
      <c r="AA10" s="75"/>
      <c r="AB10" s="36">
        <v>10.5</v>
      </c>
      <c r="AC10" s="6"/>
      <c r="AD10" s="41">
        <v>10.5</v>
      </c>
      <c r="AE10" s="6"/>
      <c r="AF10" s="41">
        <v>10.5</v>
      </c>
      <c r="AG10" s="5"/>
      <c r="AH10" s="2"/>
    </row>
    <row r="11" spans="1:34" ht="14.5" x14ac:dyDescent="0.35">
      <c r="A11" s="22">
        <v>4</v>
      </c>
      <c r="B11" s="26" t="s">
        <v>38</v>
      </c>
      <c r="C11" s="2" t="s">
        <v>45</v>
      </c>
      <c r="D11" s="2" t="s">
        <v>50</v>
      </c>
      <c r="E11" s="29" t="s">
        <v>66</v>
      </c>
      <c r="F11" s="85"/>
      <c r="G11" s="85"/>
      <c r="H11" s="2" t="s">
        <v>137</v>
      </c>
      <c r="I11" s="37" t="s">
        <v>8</v>
      </c>
      <c r="J11" s="39">
        <f>1210+1260+902</f>
        <v>3372</v>
      </c>
      <c r="K11" s="39">
        <f>71.5+36.38</f>
        <v>107.88</v>
      </c>
      <c r="L11" s="16">
        <f t="shared" si="0"/>
        <v>6.57</v>
      </c>
      <c r="M11" s="26">
        <v>2.5</v>
      </c>
      <c r="N11" s="3"/>
      <c r="O11" s="3"/>
      <c r="P11" s="10"/>
      <c r="Q11" s="45"/>
      <c r="R11" s="13"/>
      <c r="S11" s="74"/>
      <c r="T11" s="37">
        <v>2.5</v>
      </c>
      <c r="U11" s="75"/>
      <c r="V11" s="41">
        <v>2.5</v>
      </c>
      <c r="W11" s="75"/>
      <c r="X11" s="41">
        <v>2.5</v>
      </c>
      <c r="Y11" s="75"/>
      <c r="Z11" s="41">
        <v>2.5</v>
      </c>
      <c r="AA11" s="75"/>
      <c r="AB11" s="36">
        <v>2.5</v>
      </c>
      <c r="AC11" s="6"/>
      <c r="AD11" s="41">
        <v>2.5</v>
      </c>
      <c r="AE11" s="6"/>
      <c r="AF11" s="41">
        <v>2.5</v>
      </c>
      <c r="AG11" s="5"/>
      <c r="AH11" s="2"/>
    </row>
    <row r="12" spans="1:34" ht="14.5" x14ac:dyDescent="0.35">
      <c r="A12" s="24">
        <v>5</v>
      </c>
      <c r="B12" s="26" t="s">
        <v>38</v>
      </c>
      <c r="C12" s="2" t="s">
        <v>45</v>
      </c>
      <c r="D12" s="2" t="s">
        <v>51</v>
      </c>
      <c r="E12" s="29" t="s">
        <v>67</v>
      </c>
      <c r="F12" s="85"/>
      <c r="G12" s="85"/>
      <c r="H12" s="2" t="s">
        <v>83</v>
      </c>
      <c r="I12" s="37" t="s">
        <v>8</v>
      </c>
      <c r="J12" s="39">
        <f>1210+1260+902</f>
        <v>3372</v>
      </c>
      <c r="K12" s="39">
        <f>71.5+36.38</f>
        <v>107.88</v>
      </c>
      <c r="L12" s="16">
        <f t="shared" si="0"/>
        <v>3.5700000000000003</v>
      </c>
      <c r="M12" s="26">
        <v>1</v>
      </c>
      <c r="N12" s="3"/>
      <c r="O12" s="3"/>
      <c r="P12" s="10"/>
      <c r="Q12" s="45"/>
      <c r="R12" s="13"/>
      <c r="S12" s="74"/>
      <c r="T12" s="37">
        <v>1</v>
      </c>
      <c r="U12" s="75"/>
      <c r="V12" s="41">
        <v>1</v>
      </c>
      <c r="W12" s="75"/>
      <c r="X12" s="41">
        <v>1</v>
      </c>
      <c r="Y12" s="75"/>
      <c r="Z12" s="41">
        <v>1</v>
      </c>
      <c r="AA12" s="75"/>
      <c r="AB12" s="36">
        <v>1</v>
      </c>
      <c r="AC12" s="6"/>
      <c r="AD12" s="41">
        <v>1</v>
      </c>
      <c r="AE12" s="6"/>
      <c r="AF12" s="41">
        <v>1</v>
      </c>
      <c r="AG12" s="5"/>
      <c r="AH12" s="2"/>
    </row>
    <row r="13" spans="1:34" ht="14.5" x14ac:dyDescent="0.35">
      <c r="A13" s="22">
        <v>6</v>
      </c>
      <c r="B13" s="26" t="s">
        <v>39</v>
      </c>
      <c r="C13" s="2" t="s">
        <v>45</v>
      </c>
      <c r="D13" s="2" t="s">
        <v>52</v>
      </c>
      <c r="E13" s="29" t="s">
        <v>68</v>
      </c>
      <c r="F13" s="85"/>
      <c r="G13" s="85"/>
      <c r="H13" s="2" t="s">
        <v>83</v>
      </c>
      <c r="I13" s="37" t="s">
        <v>8</v>
      </c>
      <c r="J13" s="39">
        <f>1210+1260+902</f>
        <v>3372</v>
      </c>
      <c r="K13" s="39">
        <f>71.5+36.38</f>
        <v>107.88</v>
      </c>
      <c r="L13" s="16">
        <f t="shared" si="0"/>
        <v>15.57</v>
      </c>
      <c r="M13" s="26">
        <v>7</v>
      </c>
      <c r="N13" s="3"/>
      <c r="O13" s="3"/>
      <c r="P13" s="10"/>
      <c r="Q13" s="45"/>
      <c r="R13" s="13"/>
      <c r="S13" s="74"/>
      <c r="T13" s="37">
        <v>7</v>
      </c>
      <c r="U13" s="75"/>
      <c r="V13" s="41">
        <v>7</v>
      </c>
      <c r="W13" s="75"/>
      <c r="X13" s="41">
        <v>7</v>
      </c>
      <c r="Y13" s="75"/>
      <c r="Z13" s="41">
        <v>7</v>
      </c>
      <c r="AA13" s="75"/>
      <c r="AB13" s="36">
        <v>7</v>
      </c>
      <c r="AC13" s="6"/>
      <c r="AD13" s="41">
        <v>7</v>
      </c>
      <c r="AE13" s="6"/>
      <c r="AF13" s="41">
        <v>7</v>
      </c>
      <c r="AG13" s="5"/>
      <c r="AH13" s="2"/>
    </row>
    <row r="14" spans="1:34" ht="14.5" x14ac:dyDescent="0.35">
      <c r="A14" s="24">
        <v>7</v>
      </c>
      <c r="B14" s="26" t="s">
        <v>40</v>
      </c>
      <c r="C14" s="2" t="s">
        <v>45</v>
      </c>
      <c r="D14" s="2" t="s">
        <v>53</v>
      </c>
      <c r="E14" s="29" t="s">
        <v>69</v>
      </c>
      <c r="F14" s="85"/>
      <c r="G14" s="85"/>
      <c r="H14" s="2" t="s">
        <v>82</v>
      </c>
      <c r="I14" s="36" t="s">
        <v>85</v>
      </c>
      <c r="J14" s="26">
        <v>2374</v>
      </c>
      <c r="K14" s="26">
        <v>82.14</v>
      </c>
      <c r="L14" s="16">
        <f t="shared" si="0"/>
        <v>6.87</v>
      </c>
      <c r="M14" s="26">
        <v>2.65</v>
      </c>
      <c r="N14" s="3"/>
      <c r="O14" s="3"/>
      <c r="P14" s="10"/>
      <c r="Q14" s="45"/>
      <c r="R14" s="13"/>
      <c r="S14" s="74"/>
      <c r="T14" s="36">
        <v>2.65</v>
      </c>
      <c r="U14" s="75"/>
      <c r="V14" s="41">
        <v>2.65</v>
      </c>
      <c r="W14" s="75"/>
      <c r="X14" s="41">
        <v>2.65</v>
      </c>
      <c r="Y14" s="75"/>
      <c r="Z14" s="41">
        <v>2.65</v>
      </c>
      <c r="AA14" s="75"/>
      <c r="AB14" s="36">
        <v>2.65</v>
      </c>
      <c r="AC14" s="6"/>
      <c r="AD14" s="41">
        <v>2.65</v>
      </c>
      <c r="AE14" s="6"/>
      <c r="AF14" s="41">
        <v>2.65</v>
      </c>
      <c r="AG14" s="5"/>
      <c r="AH14" s="2"/>
    </row>
    <row r="15" spans="1:34" ht="14.5" x14ac:dyDescent="0.35">
      <c r="A15" s="22">
        <v>8</v>
      </c>
      <c r="B15" s="26" t="s">
        <v>41</v>
      </c>
      <c r="C15" s="2" t="s">
        <v>46</v>
      </c>
      <c r="D15" s="2" t="s">
        <v>54</v>
      </c>
      <c r="E15" s="29" t="s">
        <v>70</v>
      </c>
      <c r="F15" s="85"/>
      <c r="G15" s="85"/>
      <c r="H15" s="2" t="s">
        <v>82</v>
      </c>
      <c r="I15" s="37" t="s">
        <v>8</v>
      </c>
      <c r="J15" s="39">
        <v>1014</v>
      </c>
      <c r="K15" s="26">
        <f>42.11</f>
        <v>42.11</v>
      </c>
      <c r="L15" s="16">
        <f t="shared" si="0"/>
        <v>6.9700000000000006</v>
      </c>
      <c r="M15" s="26">
        <v>2.7</v>
      </c>
      <c r="N15" s="3"/>
      <c r="O15" s="3"/>
      <c r="P15" s="10"/>
      <c r="Q15" s="45"/>
      <c r="R15" s="13"/>
      <c r="S15" s="74"/>
      <c r="T15" s="37">
        <v>2.7</v>
      </c>
      <c r="U15" s="75"/>
      <c r="V15" s="41">
        <v>2.7</v>
      </c>
      <c r="W15" s="75"/>
      <c r="X15" s="41">
        <v>2.7</v>
      </c>
      <c r="Y15" s="75"/>
      <c r="Z15" s="41">
        <v>2.7</v>
      </c>
      <c r="AA15" s="75"/>
      <c r="AB15" s="36">
        <v>2.7</v>
      </c>
      <c r="AC15" s="6"/>
      <c r="AD15" s="41">
        <v>2.7</v>
      </c>
      <c r="AE15" s="6"/>
      <c r="AF15" s="41">
        <v>2.7</v>
      </c>
      <c r="AG15" s="5"/>
      <c r="AH15" s="2"/>
    </row>
    <row r="16" spans="1:34" ht="14.5" x14ac:dyDescent="0.35">
      <c r="A16" s="24">
        <v>9</v>
      </c>
      <c r="B16" s="26" t="s">
        <v>41</v>
      </c>
      <c r="C16" s="2" t="s">
        <v>46</v>
      </c>
      <c r="D16" s="2" t="s">
        <v>55</v>
      </c>
      <c r="E16" s="29" t="s">
        <v>71</v>
      </c>
      <c r="F16" s="2"/>
      <c r="G16" s="2"/>
      <c r="H16" s="2" t="s">
        <v>82</v>
      </c>
      <c r="I16" s="37" t="s">
        <v>8</v>
      </c>
      <c r="J16" s="26">
        <v>1013</v>
      </c>
      <c r="K16" s="26">
        <f>45.26</f>
        <v>45.26</v>
      </c>
      <c r="L16" s="16">
        <f t="shared" si="0"/>
        <v>6.9700000000000006</v>
      </c>
      <c r="M16" s="26">
        <v>2.7</v>
      </c>
      <c r="N16" s="3"/>
      <c r="O16" s="3"/>
      <c r="P16" s="10"/>
      <c r="Q16" s="45"/>
      <c r="R16" s="13"/>
      <c r="S16" s="74"/>
      <c r="T16" s="37">
        <v>2.7</v>
      </c>
      <c r="U16" s="75"/>
      <c r="V16" s="41">
        <v>2.7</v>
      </c>
      <c r="W16" s="75"/>
      <c r="X16" s="41">
        <v>2.7</v>
      </c>
      <c r="Y16" s="75"/>
      <c r="Z16" s="41">
        <v>2.7</v>
      </c>
      <c r="AA16" s="75"/>
      <c r="AB16" s="36">
        <v>2.7</v>
      </c>
      <c r="AC16" s="6"/>
      <c r="AD16" s="41">
        <v>2.7</v>
      </c>
      <c r="AE16" s="6"/>
      <c r="AF16" s="41">
        <v>2.7</v>
      </c>
      <c r="AG16" s="5"/>
      <c r="AH16" s="2"/>
    </row>
    <row r="17" spans="1:34" ht="14.5" customHeight="1" x14ac:dyDescent="0.35">
      <c r="A17" s="22">
        <v>10</v>
      </c>
      <c r="B17" s="25" t="s">
        <v>41</v>
      </c>
      <c r="C17" s="2" t="s">
        <v>46</v>
      </c>
      <c r="D17" s="2" t="s">
        <v>55</v>
      </c>
      <c r="E17" s="30" t="s">
        <v>72</v>
      </c>
      <c r="F17" s="85"/>
      <c r="G17" s="85"/>
      <c r="H17" s="2" t="s">
        <v>82</v>
      </c>
      <c r="I17" s="37" t="s">
        <v>8</v>
      </c>
      <c r="J17" s="26">
        <v>2692</v>
      </c>
      <c r="K17" s="26">
        <f>133.77</f>
        <v>133.77000000000001</v>
      </c>
      <c r="L17" s="16">
        <f t="shared" si="0"/>
        <v>6.17</v>
      </c>
      <c r="M17" s="26">
        <v>2.2999999999999998</v>
      </c>
      <c r="N17" s="3"/>
      <c r="O17" s="3"/>
      <c r="P17" s="10"/>
      <c r="Q17" s="45"/>
      <c r="R17" s="13"/>
      <c r="S17" s="74"/>
      <c r="T17" s="37">
        <v>2.2999999999999998</v>
      </c>
      <c r="U17" s="75"/>
      <c r="V17" s="41">
        <v>2.2999999999999998</v>
      </c>
      <c r="W17" s="75"/>
      <c r="X17" s="41">
        <v>2.2999999999999998</v>
      </c>
      <c r="Y17" s="75"/>
      <c r="Z17" s="41">
        <v>2.2999999999999998</v>
      </c>
      <c r="AA17" s="75"/>
      <c r="AB17" s="36">
        <v>2.2999999999999998</v>
      </c>
      <c r="AC17" s="6"/>
      <c r="AD17" s="41">
        <v>2.2999999999999998</v>
      </c>
      <c r="AE17" s="6"/>
      <c r="AF17" s="41">
        <v>2.2999999999999998</v>
      </c>
      <c r="AG17" s="5"/>
      <c r="AH17" s="2"/>
    </row>
    <row r="18" spans="1:34" ht="14.5" x14ac:dyDescent="0.35">
      <c r="A18" s="24">
        <v>11</v>
      </c>
      <c r="B18" s="26" t="s">
        <v>41</v>
      </c>
      <c r="C18" s="2" t="s">
        <v>46</v>
      </c>
      <c r="D18" s="2" t="s">
        <v>56</v>
      </c>
      <c r="E18" s="31" t="s">
        <v>73</v>
      </c>
      <c r="F18" s="2"/>
      <c r="G18" s="2"/>
      <c r="H18" s="2" t="s">
        <v>82</v>
      </c>
      <c r="I18" s="37" t="s">
        <v>8</v>
      </c>
      <c r="J18" s="26">
        <v>1273</v>
      </c>
      <c r="K18" s="26">
        <v>71.5</v>
      </c>
      <c r="L18" s="16">
        <f t="shared" si="0"/>
        <v>5.57</v>
      </c>
      <c r="M18" s="26">
        <v>2</v>
      </c>
      <c r="N18" s="3"/>
      <c r="O18" s="3"/>
      <c r="P18" s="10"/>
      <c r="Q18" s="45"/>
      <c r="R18" s="13"/>
      <c r="S18" s="74"/>
      <c r="T18" s="37">
        <v>2</v>
      </c>
      <c r="U18" s="75"/>
      <c r="V18" s="41">
        <v>2</v>
      </c>
      <c r="W18" s="75"/>
      <c r="X18" s="41">
        <v>2</v>
      </c>
      <c r="Y18" s="75"/>
      <c r="Z18" s="41">
        <v>2</v>
      </c>
      <c r="AA18" s="75"/>
      <c r="AB18" s="36">
        <v>2</v>
      </c>
      <c r="AC18" s="6"/>
      <c r="AD18" s="41">
        <v>2</v>
      </c>
      <c r="AE18" s="6"/>
      <c r="AF18" s="41">
        <v>2</v>
      </c>
      <c r="AG18" s="5"/>
      <c r="AH18" s="2"/>
    </row>
    <row r="19" spans="1:34" ht="14.5" customHeight="1" x14ac:dyDescent="0.35">
      <c r="A19" s="24">
        <v>13</v>
      </c>
      <c r="B19" s="27" t="s">
        <v>42</v>
      </c>
      <c r="C19" s="2" t="s">
        <v>45</v>
      </c>
      <c r="D19" s="2" t="s">
        <v>58</v>
      </c>
      <c r="E19" s="33" t="s">
        <v>75</v>
      </c>
      <c r="F19" s="85"/>
      <c r="G19" s="87"/>
      <c r="H19" s="2" t="s">
        <v>82</v>
      </c>
      <c r="I19" s="38" t="s">
        <v>25</v>
      </c>
      <c r="J19" s="40">
        <v>1641</v>
      </c>
      <c r="K19" s="26">
        <v>43.4</v>
      </c>
      <c r="L19" s="16">
        <f t="shared" si="0"/>
        <v>7.57</v>
      </c>
      <c r="M19" s="34">
        <v>3</v>
      </c>
      <c r="N19" s="3"/>
      <c r="O19" s="3"/>
      <c r="P19" s="10"/>
      <c r="Q19" s="46"/>
      <c r="R19" s="13"/>
      <c r="S19" s="5"/>
      <c r="T19" s="6"/>
      <c r="U19" s="5"/>
      <c r="V19" s="6"/>
      <c r="W19" s="75"/>
      <c r="X19" s="38">
        <v>3</v>
      </c>
      <c r="Y19" s="75"/>
      <c r="Z19" s="38">
        <v>3</v>
      </c>
      <c r="AA19" s="75"/>
      <c r="AB19" s="38">
        <v>3</v>
      </c>
      <c r="AC19" s="6"/>
      <c r="AD19" s="35">
        <v>3</v>
      </c>
      <c r="AE19" s="6"/>
      <c r="AF19" s="38">
        <v>3</v>
      </c>
      <c r="AG19" s="5"/>
      <c r="AH19" s="2"/>
    </row>
    <row r="20" spans="1:34" ht="14.5" customHeight="1" x14ac:dyDescent="0.35">
      <c r="A20" s="22">
        <v>14</v>
      </c>
      <c r="B20" s="27" t="s">
        <v>42</v>
      </c>
      <c r="C20" s="2" t="s">
        <v>45</v>
      </c>
      <c r="D20" s="2" t="s">
        <v>58</v>
      </c>
      <c r="E20" s="33" t="s">
        <v>76</v>
      </c>
      <c r="F20" s="85"/>
      <c r="G20" s="87"/>
      <c r="H20" s="2" t="s">
        <v>82</v>
      </c>
      <c r="I20" s="38" t="s">
        <v>25</v>
      </c>
      <c r="J20" s="40">
        <v>1641</v>
      </c>
      <c r="K20" s="26">
        <v>43.4</v>
      </c>
      <c r="L20" s="16">
        <f t="shared" si="0"/>
        <v>6.9700000000000006</v>
      </c>
      <c r="M20" s="34">
        <v>2.7</v>
      </c>
      <c r="N20" s="3"/>
      <c r="O20" s="3"/>
      <c r="P20" s="10"/>
      <c r="Q20" s="46"/>
      <c r="R20" s="13"/>
      <c r="S20" s="5"/>
      <c r="T20" s="6"/>
      <c r="U20" s="5"/>
      <c r="V20" s="6"/>
      <c r="W20" s="75"/>
      <c r="X20" s="38">
        <v>2.7</v>
      </c>
      <c r="Y20" s="75"/>
      <c r="Z20" s="38">
        <v>2.7</v>
      </c>
      <c r="AA20" s="75"/>
      <c r="AB20" s="38">
        <v>2.7</v>
      </c>
      <c r="AC20" s="6"/>
      <c r="AD20" s="35">
        <v>2.7</v>
      </c>
      <c r="AE20" s="6"/>
      <c r="AF20" s="38">
        <v>2.7</v>
      </c>
      <c r="AG20" s="5"/>
      <c r="AH20" s="2"/>
    </row>
    <row r="21" spans="1:34" ht="14.5" customHeight="1" x14ac:dyDescent="0.35">
      <c r="A21" s="24">
        <v>15</v>
      </c>
      <c r="B21" s="27" t="s">
        <v>42</v>
      </c>
      <c r="C21" s="2" t="s">
        <v>46</v>
      </c>
      <c r="D21" s="2" t="s">
        <v>59</v>
      </c>
      <c r="E21" s="33" t="s">
        <v>77</v>
      </c>
      <c r="F21" s="85"/>
      <c r="G21" s="85"/>
      <c r="H21" s="2" t="s">
        <v>82</v>
      </c>
      <c r="I21" s="38" t="s">
        <v>25</v>
      </c>
      <c r="J21" s="40">
        <f>1273+1679</f>
        <v>2952</v>
      </c>
      <c r="K21" s="26">
        <f>71.5+56.75</f>
        <v>128.25</v>
      </c>
      <c r="L21" s="16">
        <f t="shared" si="0"/>
        <v>4.97</v>
      </c>
      <c r="M21" s="34">
        <v>1.7</v>
      </c>
      <c r="N21" s="3"/>
      <c r="O21" s="3"/>
      <c r="P21" s="10"/>
      <c r="Q21" s="46"/>
      <c r="R21" s="13"/>
      <c r="S21" s="5"/>
      <c r="T21" s="6"/>
      <c r="U21" s="5"/>
      <c r="V21" s="6"/>
      <c r="W21" s="75"/>
      <c r="X21" s="38">
        <v>1.7</v>
      </c>
      <c r="Y21" s="75"/>
      <c r="Z21" s="38">
        <v>1.7</v>
      </c>
      <c r="AA21" s="75"/>
      <c r="AB21" s="38">
        <v>1.7</v>
      </c>
      <c r="AC21" s="6"/>
      <c r="AD21" s="35">
        <v>1.7</v>
      </c>
      <c r="AE21" s="6"/>
      <c r="AF21" s="38">
        <v>1.7</v>
      </c>
      <c r="AG21" s="5"/>
      <c r="AH21" s="2"/>
    </row>
    <row r="22" spans="1:34" ht="14.5" customHeight="1" x14ac:dyDescent="0.35">
      <c r="A22" s="22">
        <v>16</v>
      </c>
      <c r="B22" s="27" t="s">
        <v>42</v>
      </c>
      <c r="C22" s="2" t="s">
        <v>46</v>
      </c>
      <c r="D22" s="2" t="s">
        <v>60</v>
      </c>
      <c r="E22" s="33" t="s">
        <v>78</v>
      </c>
      <c r="F22" s="85"/>
      <c r="G22" s="85"/>
      <c r="H22" s="2" t="s">
        <v>82</v>
      </c>
      <c r="I22" s="38" t="s">
        <v>25</v>
      </c>
      <c r="J22" s="40">
        <f>1273+1679</f>
        <v>2952</v>
      </c>
      <c r="K22" s="26">
        <f>71.5+56.75</f>
        <v>128.25</v>
      </c>
      <c r="L22" s="16">
        <f t="shared" si="0"/>
        <v>5.57</v>
      </c>
      <c r="M22" s="34">
        <v>2</v>
      </c>
      <c r="N22" s="3"/>
      <c r="O22" s="3"/>
      <c r="P22" s="10"/>
      <c r="Q22" s="46"/>
      <c r="R22" s="13"/>
      <c r="S22" s="5"/>
      <c r="T22" s="6"/>
      <c r="U22" s="5"/>
      <c r="V22" s="6"/>
      <c r="W22" s="75"/>
      <c r="X22" s="38">
        <v>2</v>
      </c>
      <c r="Y22" s="75"/>
      <c r="Z22" s="38">
        <v>2</v>
      </c>
      <c r="AA22" s="75"/>
      <c r="AB22" s="38">
        <v>2</v>
      </c>
      <c r="AC22" s="6"/>
      <c r="AD22" s="35">
        <v>2</v>
      </c>
      <c r="AE22" s="6"/>
      <c r="AF22" s="38">
        <v>2</v>
      </c>
      <c r="AG22" s="5"/>
      <c r="AH22" s="2"/>
    </row>
    <row r="23" spans="1:34" ht="14.5" customHeight="1" x14ac:dyDescent="0.35">
      <c r="A23" s="24">
        <v>17</v>
      </c>
      <c r="B23" s="27" t="s">
        <v>42</v>
      </c>
      <c r="C23" s="2" t="s">
        <v>46</v>
      </c>
      <c r="D23" s="2" t="s">
        <v>61</v>
      </c>
      <c r="E23" s="33" t="s">
        <v>79</v>
      </c>
      <c r="F23" s="2"/>
      <c r="G23" s="2"/>
      <c r="H23" s="2" t="s">
        <v>82</v>
      </c>
      <c r="I23" s="38" t="s">
        <v>25</v>
      </c>
      <c r="J23" s="40">
        <v>1273</v>
      </c>
      <c r="K23" s="26">
        <v>71.5</v>
      </c>
      <c r="L23" s="16">
        <f t="shared" si="0"/>
        <v>5.57</v>
      </c>
      <c r="M23" s="34">
        <v>2</v>
      </c>
      <c r="N23" s="3"/>
      <c r="O23" s="3"/>
      <c r="P23" s="10"/>
      <c r="Q23" s="46"/>
      <c r="R23" s="13"/>
      <c r="S23" s="5"/>
      <c r="T23" s="6"/>
      <c r="U23" s="5"/>
      <c r="V23" s="6"/>
      <c r="W23" s="75"/>
      <c r="X23" s="38">
        <v>2</v>
      </c>
      <c r="Y23" s="75"/>
      <c r="Z23" s="38">
        <v>2</v>
      </c>
      <c r="AA23" s="75"/>
      <c r="AB23" s="38">
        <v>2</v>
      </c>
      <c r="AC23" s="6"/>
      <c r="AD23" s="35">
        <v>2</v>
      </c>
      <c r="AE23" s="6"/>
      <c r="AF23" s="38">
        <v>2</v>
      </c>
      <c r="AG23" s="5"/>
      <c r="AH23" s="2"/>
    </row>
    <row r="24" spans="1:34" ht="14.5" customHeight="1" x14ac:dyDescent="0.35">
      <c r="A24" s="22">
        <v>18</v>
      </c>
      <c r="B24" s="27" t="s">
        <v>42</v>
      </c>
      <c r="C24" s="2" t="s">
        <v>46</v>
      </c>
      <c r="D24" s="2" t="s">
        <v>62</v>
      </c>
      <c r="E24" s="33" t="s">
        <v>80</v>
      </c>
      <c r="F24" s="85"/>
      <c r="G24" s="85"/>
      <c r="H24" s="2" t="s">
        <v>82</v>
      </c>
      <c r="I24" s="38" t="s">
        <v>25</v>
      </c>
      <c r="J24" s="40">
        <v>1273</v>
      </c>
      <c r="K24" s="26">
        <v>71.5</v>
      </c>
      <c r="L24" s="16">
        <f t="shared" si="0"/>
        <v>5.57</v>
      </c>
      <c r="M24" s="34">
        <v>2</v>
      </c>
      <c r="N24" s="3"/>
      <c r="O24" s="3"/>
      <c r="P24" s="10"/>
      <c r="Q24" s="46"/>
      <c r="R24" s="13"/>
      <c r="S24" s="5"/>
      <c r="T24" s="6"/>
      <c r="U24" s="5"/>
      <c r="V24" s="6"/>
      <c r="W24" s="75"/>
      <c r="X24" s="38">
        <v>2</v>
      </c>
      <c r="Y24" s="75"/>
      <c r="Z24" s="38">
        <v>2</v>
      </c>
      <c r="AA24" s="75"/>
      <c r="AB24" s="38">
        <v>2</v>
      </c>
      <c r="AC24" s="6"/>
      <c r="AD24" s="35">
        <v>2</v>
      </c>
      <c r="AE24" s="6"/>
      <c r="AF24" s="38">
        <v>2</v>
      </c>
      <c r="AG24" s="5"/>
      <c r="AH24" s="2"/>
    </row>
    <row r="25" spans="1:34" ht="14.5" customHeight="1" x14ac:dyDescent="0.35">
      <c r="A25" s="24">
        <v>19</v>
      </c>
      <c r="B25" s="27" t="s">
        <v>42</v>
      </c>
      <c r="C25" s="2" t="s">
        <v>46</v>
      </c>
      <c r="D25" s="2" t="s">
        <v>62</v>
      </c>
      <c r="E25" s="33" t="s">
        <v>81</v>
      </c>
      <c r="F25" s="2"/>
      <c r="G25" s="2"/>
      <c r="H25" s="2" t="s">
        <v>82</v>
      </c>
      <c r="I25" s="38" t="s">
        <v>25</v>
      </c>
      <c r="J25" s="40">
        <v>1273</v>
      </c>
      <c r="K25" s="26">
        <v>71.5</v>
      </c>
      <c r="L25" s="16">
        <f t="shared" si="0"/>
        <v>6.9700000000000006</v>
      </c>
      <c r="M25" s="34">
        <v>2.7</v>
      </c>
      <c r="N25" s="3"/>
      <c r="O25" s="3"/>
      <c r="P25" s="10"/>
      <c r="Q25" s="46"/>
      <c r="R25" s="13"/>
      <c r="S25" s="5"/>
      <c r="T25" s="6"/>
      <c r="U25" s="5"/>
      <c r="V25" s="6"/>
      <c r="W25" s="75"/>
      <c r="X25" s="38">
        <v>2.7</v>
      </c>
      <c r="Y25" s="75"/>
      <c r="Z25" s="38">
        <v>2.7</v>
      </c>
      <c r="AA25" s="75"/>
      <c r="AB25" s="38">
        <v>2.7</v>
      </c>
      <c r="AC25" s="6"/>
      <c r="AD25" s="35">
        <v>2.7</v>
      </c>
      <c r="AE25" s="6"/>
      <c r="AF25" s="38">
        <v>2.7</v>
      </c>
      <c r="AG25" s="5"/>
      <c r="AH25" s="2"/>
    </row>
    <row r="26" spans="1:34" ht="9.65" customHeight="1" x14ac:dyDescent="0.35">
      <c r="A26" s="61"/>
      <c r="B26" s="62"/>
      <c r="C26" s="63"/>
      <c r="D26" s="63"/>
      <c r="E26" s="63"/>
      <c r="F26" s="63"/>
      <c r="G26" s="63"/>
      <c r="H26" s="63"/>
      <c r="I26" s="64"/>
      <c r="J26" s="63"/>
      <c r="K26" s="63"/>
      <c r="L26" s="63"/>
      <c r="M26" s="65"/>
      <c r="N26" s="65"/>
      <c r="O26" s="65"/>
      <c r="P26" s="99"/>
      <c r="Q26" s="66"/>
      <c r="R26" s="67"/>
      <c r="S26" s="63"/>
      <c r="T26" s="65"/>
      <c r="U26" s="63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5"/>
      <c r="AH26" s="5"/>
    </row>
    <row r="27" spans="1:34" ht="14.5" x14ac:dyDescent="0.35">
      <c r="A27" s="24">
        <v>1</v>
      </c>
      <c r="B27" s="34" t="s">
        <v>93</v>
      </c>
      <c r="C27" s="2" t="s">
        <v>45</v>
      </c>
      <c r="D27" s="2" t="s">
        <v>58</v>
      </c>
      <c r="E27" s="42" t="s">
        <v>96</v>
      </c>
      <c r="F27" s="96"/>
      <c r="G27" s="96"/>
      <c r="H27" s="91" t="s">
        <v>23</v>
      </c>
      <c r="I27" s="37" t="s">
        <v>8</v>
      </c>
      <c r="J27" s="34">
        <v>1641</v>
      </c>
      <c r="K27" s="34">
        <v>43.4</v>
      </c>
      <c r="L27" s="2">
        <f t="shared" ref="L27:L47" si="1">(M27*2)+$L$1</f>
        <v>3.5700000000000003</v>
      </c>
      <c r="M27" s="26">
        <v>1</v>
      </c>
      <c r="N27" s="77">
        <f t="shared" ref="N27:N47" si="2">((J27/K27)*L27)/M27</f>
        <v>134.98548387096776</v>
      </c>
      <c r="O27" s="6"/>
      <c r="P27" s="10"/>
      <c r="Q27" s="45"/>
      <c r="R27" s="13"/>
      <c r="S27" s="5"/>
      <c r="T27" s="6"/>
      <c r="U27" s="5"/>
      <c r="V27" s="6"/>
      <c r="W27" s="75"/>
      <c r="X27" s="37">
        <v>1</v>
      </c>
      <c r="Y27" s="75"/>
      <c r="Z27" s="41">
        <v>1</v>
      </c>
      <c r="AA27" s="75"/>
      <c r="AB27" s="41">
        <v>1</v>
      </c>
      <c r="AC27" s="6"/>
      <c r="AD27" s="41">
        <v>1</v>
      </c>
      <c r="AE27" s="6"/>
      <c r="AF27" s="81">
        <v>1</v>
      </c>
      <c r="AG27" s="5"/>
      <c r="AH27" s="2"/>
    </row>
    <row r="28" spans="1:34" ht="14.5" x14ac:dyDescent="0.35">
      <c r="A28" s="24">
        <v>2</v>
      </c>
      <c r="B28" s="23" t="s">
        <v>35</v>
      </c>
      <c r="C28" s="2" t="s">
        <v>43</v>
      </c>
      <c r="D28" s="2" t="s">
        <v>120</v>
      </c>
      <c r="E28" s="49" t="s">
        <v>129</v>
      </c>
      <c r="F28" s="89"/>
      <c r="G28" s="89"/>
      <c r="H28" s="91" t="s">
        <v>84</v>
      </c>
      <c r="I28" s="37" t="s">
        <v>8</v>
      </c>
      <c r="J28" s="34">
        <f>770+1806</f>
        <v>2576</v>
      </c>
      <c r="K28" s="34">
        <f>23.18+22.95</f>
        <v>46.129999999999995</v>
      </c>
      <c r="L28" s="2">
        <f t="shared" si="1"/>
        <v>17.57</v>
      </c>
      <c r="M28" s="26">
        <v>8</v>
      </c>
      <c r="N28" s="77">
        <f t="shared" si="2"/>
        <v>122.64339908952961</v>
      </c>
      <c r="O28" s="6"/>
      <c r="P28" s="10"/>
      <c r="Q28" s="45"/>
      <c r="R28" s="13"/>
      <c r="S28" s="5"/>
      <c r="T28" s="6"/>
      <c r="U28" s="75"/>
      <c r="V28" s="26"/>
      <c r="W28" s="75"/>
      <c r="X28" s="37">
        <v>8</v>
      </c>
      <c r="Y28" s="75"/>
      <c r="Z28" s="41">
        <v>8</v>
      </c>
      <c r="AA28" s="75"/>
      <c r="AB28" s="41">
        <v>8</v>
      </c>
      <c r="AC28" s="6"/>
      <c r="AD28" s="41">
        <v>8</v>
      </c>
      <c r="AE28" s="6"/>
      <c r="AF28" s="81">
        <v>8</v>
      </c>
      <c r="AG28" s="5"/>
      <c r="AH28" s="2"/>
    </row>
    <row r="29" spans="1:34" ht="14.5" x14ac:dyDescent="0.35">
      <c r="A29" s="24">
        <v>3</v>
      </c>
      <c r="B29" s="27" t="s">
        <v>86</v>
      </c>
      <c r="C29" s="2" t="s">
        <v>43</v>
      </c>
      <c r="D29" s="2" t="s">
        <v>130</v>
      </c>
      <c r="E29" s="33" t="s">
        <v>109</v>
      </c>
      <c r="F29" s="85"/>
      <c r="G29" s="85"/>
      <c r="H29" s="91" t="s">
        <v>23</v>
      </c>
      <c r="I29" s="37" t="s">
        <v>8</v>
      </c>
      <c r="J29" s="34">
        <f>502+654</f>
        <v>1156</v>
      </c>
      <c r="K29" s="34">
        <f>11.38+16.37</f>
        <v>27.75</v>
      </c>
      <c r="L29" s="2">
        <f t="shared" si="1"/>
        <v>11.07</v>
      </c>
      <c r="M29" s="26">
        <v>4.75</v>
      </c>
      <c r="N29" s="77">
        <f t="shared" si="2"/>
        <v>97.084267425320064</v>
      </c>
      <c r="O29" s="6"/>
      <c r="P29" s="10"/>
      <c r="Q29" s="45"/>
      <c r="R29" s="13"/>
      <c r="S29" s="5"/>
      <c r="T29" s="6"/>
      <c r="U29" s="75"/>
      <c r="V29" s="26"/>
      <c r="W29" s="75"/>
      <c r="X29" s="37">
        <v>4.75</v>
      </c>
      <c r="Y29" s="75"/>
      <c r="Z29" s="41">
        <v>4.75</v>
      </c>
      <c r="AA29" s="75"/>
      <c r="AB29" s="41">
        <v>4.75</v>
      </c>
      <c r="AC29" s="6"/>
      <c r="AD29" s="41">
        <v>4.75</v>
      </c>
      <c r="AE29" s="6"/>
      <c r="AF29" s="81">
        <v>4.75</v>
      </c>
      <c r="AG29" s="5"/>
      <c r="AH29" s="2"/>
    </row>
    <row r="30" spans="1:34" ht="14.5" x14ac:dyDescent="0.35">
      <c r="A30" s="24">
        <v>4</v>
      </c>
      <c r="B30" s="27" t="s">
        <v>92</v>
      </c>
      <c r="C30" s="2" t="s">
        <v>44</v>
      </c>
      <c r="D30" s="2" t="s">
        <v>122</v>
      </c>
      <c r="E30" s="33" t="s">
        <v>118</v>
      </c>
      <c r="F30" s="85"/>
      <c r="G30" s="85"/>
      <c r="H30" s="92" t="s">
        <v>138</v>
      </c>
      <c r="I30" s="37" t="s">
        <v>8</v>
      </c>
      <c r="J30" s="50">
        <v>1841</v>
      </c>
      <c r="K30" s="26">
        <v>45.26</v>
      </c>
      <c r="L30" s="2">
        <f t="shared" si="1"/>
        <v>17.37</v>
      </c>
      <c r="M30" s="26">
        <v>7.9</v>
      </c>
      <c r="N30" s="77">
        <f t="shared" si="2"/>
        <v>89.435917371921448</v>
      </c>
      <c r="O30" s="6"/>
      <c r="P30" s="10"/>
      <c r="Q30" s="46"/>
      <c r="R30" s="13"/>
      <c r="S30" s="5"/>
      <c r="T30" s="6"/>
      <c r="U30" s="75"/>
      <c r="V30" s="26"/>
      <c r="W30" s="75"/>
      <c r="X30" s="26"/>
      <c r="Y30" s="75"/>
      <c r="Z30" s="37">
        <v>7.9</v>
      </c>
      <c r="AA30" s="75"/>
      <c r="AB30" s="41">
        <v>7.9</v>
      </c>
      <c r="AC30" s="6"/>
      <c r="AD30" s="41">
        <v>7.9</v>
      </c>
      <c r="AE30" s="6"/>
      <c r="AF30" s="41">
        <v>7.9</v>
      </c>
      <c r="AG30" s="5"/>
      <c r="AH30" s="2"/>
    </row>
    <row r="31" spans="1:34" ht="14.5" x14ac:dyDescent="0.35">
      <c r="A31" s="24">
        <v>5</v>
      </c>
      <c r="B31" s="27" t="s">
        <v>88</v>
      </c>
      <c r="C31" s="2" t="s">
        <v>44</v>
      </c>
      <c r="D31" s="2" t="s">
        <v>132</v>
      </c>
      <c r="E31" s="33" t="s">
        <v>112</v>
      </c>
      <c r="F31" s="85"/>
      <c r="G31" s="85"/>
      <c r="H31" s="93" t="s">
        <v>135</v>
      </c>
      <c r="I31" s="41" t="s">
        <v>25</v>
      </c>
      <c r="J31" s="26">
        <v>1841</v>
      </c>
      <c r="K31" s="34">
        <v>45.26</v>
      </c>
      <c r="L31" s="2">
        <f t="shared" si="1"/>
        <v>22.17</v>
      </c>
      <c r="M31" s="26">
        <v>10.3</v>
      </c>
      <c r="N31" s="77">
        <f t="shared" si="2"/>
        <v>87.552329796772909</v>
      </c>
      <c r="O31" s="6"/>
      <c r="P31" s="10"/>
      <c r="Q31" s="46"/>
      <c r="R31" s="13"/>
      <c r="S31" s="5"/>
      <c r="T31" s="6"/>
      <c r="U31" s="5"/>
      <c r="V31" s="6"/>
      <c r="W31" s="5"/>
      <c r="X31" s="6"/>
      <c r="Y31" s="5"/>
      <c r="Z31" s="37">
        <v>10.3</v>
      </c>
      <c r="AA31" s="75"/>
      <c r="AB31" s="41">
        <v>10.3</v>
      </c>
      <c r="AC31" s="6"/>
      <c r="AD31" s="41">
        <v>10.3</v>
      </c>
      <c r="AE31" s="6"/>
      <c r="AF31" s="41">
        <v>10.3</v>
      </c>
      <c r="AG31" s="5"/>
      <c r="AH31" s="2"/>
    </row>
    <row r="32" spans="1:34" ht="14.5" x14ac:dyDescent="0.35">
      <c r="A32" s="24">
        <v>6</v>
      </c>
      <c r="B32" s="23" t="s">
        <v>93</v>
      </c>
      <c r="C32" s="2" t="s">
        <v>45</v>
      </c>
      <c r="D32" s="2" t="s">
        <v>58</v>
      </c>
      <c r="E32" s="49" t="s">
        <v>119</v>
      </c>
      <c r="F32" s="85"/>
      <c r="G32" s="85"/>
      <c r="H32" s="93" t="s">
        <v>24</v>
      </c>
      <c r="I32" s="41" t="s">
        <v>25</v>
      </c>
      <c r="J32" s="26">
        <f>1641</f>
        <v>1641</v>
      </c>
      <c r="K32" s="26">
        <f>43.4</f>
        <v>43.4</v>
      </c>
      <c r="L32" s="2">
        <f t="shared" si="1"/>
        <v>13.17</v>
      </c>
      <c r="M32" s="26">
        <v>5.8</v>
      </c>
      <c r="N32" s="77">
        <f t="shared" si="2"/>
        <v>85.857182583823302</v>
      </c>
      <c r="O32" s="6"/>
      <c r="P32" s="10"/>
      <c r="Q32" s="45"/>
      <c r="R32" s="13"/>
      <c r="S32" s="5"/>
      <c r="T32" s="6"/>
      <c r="U32" s="5"/>
      <c r="V32" s="6"/>
      <c r="W32" s="5"/>
      <c r="X32" s="6"/>
      <c r="Y32" s="5"/>
      <c r="Z32" s="37">
        <v>5.8</v>
      </c>
      <c r="AA32" s="75"/>
      <c r="AB32" s="41">
        <v>5.8</v>
      </c>
      <c r="AC32" s="6"/>
      <c r="AD32" s="41">
        <v>5.8</v>
      </c>
      <c r="AE32" s="6"/>
      <c r="AF32" s="41">
        <v>5.8</v>
      </c>
      <c r="AG32" s="5"/>
      <c r="AH32" s="2"/>
    </row>
    <row r="33" spans="1:34" ht="14.5" x14ac:dyDescent="0.35">
      <c r="A33" s="24">
        <v>7</v>
      </c>
      <c r="B33" s="34" t="s">
        <v>42</v>
      </c>
      <c r="C33" s="2" t="s">
        <v>44</v>
      </c>
      <c r="D33" s="2" t="s">
        <v>126</v>
      </c>
      <c r="E33" s="42" t="s">
        <v>105</v>
      </c>
      <c r="F33" s="97"/>
      <c r="G33" s="97"/>
      <c r="H33" s="91" t="s">
        <v>84</v>
      </c>
      <c r="I33" s="37" t="s">
        <v>8</v>
      </c>
      <c r="J33" s="34">
        <v>1922</v>
      </c>
      <c r="K33" s="34">
        <v>61.27</v>
      </c>
      <c r="L33" s="2">
        <f t="shared" si="1"/>
        <v>8.57</v>
      </c>
      <c r="M33" s="26">
        <v>3.5</v>
      </c>
      <c r="N33" s="77">
        <f t="shared" si="2"/>
        <v>76.810091165566931</v>
      </c>
      <c r="O33" s="6"/>
      <c r="P33" s="10"/>
      <c r="Q33" s="44"/>
      <c r="R33" s="13"/>
      <c r="S33" s="5"/>
      <c r="T33" s="6"/>
      <c r="U33" s="5"/>
      <c r="V33" s="6"/>
      <c r="W33" s="75"/>
      <c r="X33" s="26"/>
      <c r="Y33" s="75"/>
      <c r="Z33" s="26"/>
      <c r="AA33" s="75"/>
      <c r="AB33" s="80">
        <v>3.5</v>
      </c>
      <c r="AC33" s="6"/>
      <c r="AD33" s="79">
        <v>3.5</v>
      </c>
      <c r="AE33" s="6"/>
      <c r="AF33" s="79">
        <v>3.5</v>
      </c>
      <c r="AG33" s="5"/>
      <c r="AH33" s="2"/>
    </row>
    <row r="34" spans="1:34" ht="14.5" x14ac:dyDescent="0.35">
      <c r="A34" s="24">
        <v>8</v>
      </c>
      <c r="B34" s="27" t="s">
        <v>91</v>
      </c>
      <c r="C34" s="2" t="s">
        <v>44</v>
      </c>
      <c r="D34" s="2" t="s">
        <v>121</v>
      </c>
      <c r="E34" s="33" t="s">
        <v>116</v>
      </c>
      <c r="F34" s="98"/>
      <c r="G34" s="98"/>
      <c r="H34" s="91" t="s">
        <v>135</v>
      </c>
      <c r="I34" s="41" t="s">
        <v>25</v>
      </c>
      <c r="J34" s="26">
        <v>1963</v>
      </c>
      <c r="K34" s="26">
        <v>82.14</v>
      </c>
      <c r="L34" s="2">
        <f t="shared" si="1"/>
        <v>5.7700000000000005</v>
      </c>
      <c r="M34" s="26">
        <v>2.1</v>
      </c>
      <c r="N34" s="77">
        <f t="shared" si="2"/>
        <v>65.66321147402229</v>
      </c>
      <c r="O34" s="6"/>
      <c r="P34" s="10"/>
      <c r="Q34" s="45"/>
      <c r="R34" s="13"/>
      <c r="S34" s="5"/>
      <c r="T34" s="6"/>
      <c r="U34" s="5"/>
      <c r="V34" s="6"/>
      <c r="W34" s="75"/>
      <c r="X34" s="26"/>
      <c r="Y34" s="75"/>
      <c r="Z34" s="26"/>
      <c r="AA34" s="75"/>
      <c r="AB34" s="37">
        <v>2.1</v>
      </c>
      <c r="AC34" s="6"/>
      <c r="AD34" s="41">
        <v>2.1</v>
      </c>
      <c r="AE34" s="6"/>
      <c r="AF34" s="41">
        <v>2.1</v>
      </c>
      <c r="AG34" s="5"/>
      <c r="AH34" s="2"/>
    </row>
    <row r="35" spans="1:34" ht="14.5" x14ac:dyDescent="0.35">
      <c r="A35" s="24">
        <v>9</v>
      </c>
      <c r="B35" s="27" t="s">
        <v>89</v>
      </c>
      <c r="C35" s="2" t="s">
        <v>44</v>
      </c>
      <c r="D35" s="2" t="s">
        <v>134</v>
      </c>
      <c r="E35" s="42" t="s">
        <v>114</v>
      </c>
      <c r="F35" s="97"/>
      <c r="G35" s="97"/>
      <c r="H35" s="94" t="s">
        <v>24</v>
      </c>
      <c r="I35" s="37" t="s">
        <v>8</v>
      </c>
      <c r="J35" s="39">
        <f>896+1963</f>
        <v>2859</v>
      </c>
      <c r="K35" s="34">
        <f>20.62+82.14</f>
        <v>102.76</v>
      </c>
      <c r="L35" s="2">
        <f t="shared" si="1"/>
        <v>12.97</v>
      </c>
      <c r="M35" s="26">
        <v>5.7</v>
      </c>
      <c r="N35" s="77">
        <f t="shared" si="2"/>
        <v>63.307502407244264</v>
      </c>
      <c r="O35" s="6"/>
      <c r="P35" s="10"/>
      <c r="Q35" s="45"/>
      <c r="R35" s="13"/>
      <c r="S35" s="5"/>
      <c r="T35" s="6"/>
      <c r="U35" s="5"/>
      <c r="V35" s="6"/>
      <c r="W35" s="5"/>
      <c r="X35" s="6"/>
      <c r="Y35" s="5"/>
      <c r="Z35" s="6"/>
      <c r="AA35" s="75"/>
      <c r="AB35" s="37">
        <v>5.7</v>
      </c>
      <c r="AC35" s="6"/>
      <c r="AD35" s="41">
        <v>5.7</v>
      </c>
      <c r="AE35" s="6"/>
      <c r="AF35" s="41">
        <v>5.7</v>
      </c>
      <c r="AG35" s="5"/>
      <c r="AH35" s="2"/>
    </row>
    <row r="36" spans="1:34" ht="14.5" x14ac:dyDescent="0.35">
      <c r="A36" s="24">
        <v>10</v>
      </c>
      <c r="B36" s="23" t="s">
        <v>42</v>
      </c>
      <c r="C36" s="2" t="s">
        <v>43</v>
      </c>
      <c r="D36" s="2" t="s">
        <v>131</v>
      </c>
      <c r="E36" s="49" t="s">
        <v>110</v>
      </c>
      <c r="F36" s="98"/>
      <c r="G36" s="98"/>
      <c r="H36" s="91" t="s">
        <v>84</v>
      </c>
      <c r="I36" s="37" t="s">
        <v>8</v>
      </c>
      <c r="J36" s="34">
        <f>1906+1963</f>
        <v>3869</v>
      </c>
      <c r="K36" s="34">
        <f>59.77+82.14</f>
        <v>141.91</v>
      </c>
      <c r="L36" s="2">
        <f t="shared" si="1"/>
        <v>16.57</v>
      </c>
      <c r="M36" s="26">
        <v>7.5</v>
      </c>
      <c r="N36" s="77">
        <f t="shared" si="2"/>
        <v>60.234730932750807</v>
      </c>
      <c r="O36" s="6"/>
      <c r="P36" s="10"/>
      <c r="Q36" s="45"/>
      <c r="R36" s="13"/>
      <c r="S36" s="5"/>
      <c r="T36" s="6"/>
      <c r="U36" s="5"/>
      <c r="V36" s="6"/>
      <c r="W36" s="5"/>
      <c r="X36" s="6"/>
      <c r="Y36" s="5"/>
      <c r="Z36" s="6"/>
      <c r="AA36" s="75"/>
      <c r="AB36" s="37">
        <v>7.5</v>
      </c>
      <c r="AC36" s="6"/>
      <c r="AD36" s="41">
        <v>7.5</v>
      </c>
      <c r="AE36" s="6"/>
      <c r="AF36" s="41">
        <v>7.5</v>
      </c>
      <c r="AG36" s="5"/>
      <c r="AH36" s="2"/>
    </row>
    <row r="37" spans="1:34" ht="14.5" x14ac:dyDescent="0.35">
      <c r="A37" s="24">
        <v>11</v>
      </c>
      <c r="B37" s="27" t="s">
        <v>42</v>
      </c>
      <c r="C37" s="2" t="s">
        <v>46</v>
      </c>
      <c r="D37" s="2" t="s">
        <v>125</v>
      </c>
      <c r="E37" s="33" t="s">
        <v>108</v>
      </c>
      <c r="F37" s="2"/>
      <c r="G37" s="2"/>
      <c r="H37" s="91" t="s">
        <v>84</v>
      </c>
      <c r="I37" s="37" t="s">
        <v>8</v>
      </c>
      <c r="J37" s="34">
        <f>1205</f>
        <v>1205</v>
      </c>
      <c r="K37" s="34">
        <v>52.84</v>
      </c>
      <c r="L37" s="2">
        <f t="shared" si="1"/>
        <v>6.57</v>
      </c>
      <c r="M37" s="26">
        <v>2.5</v>
      </c>
      <c r="N37" s="77">
        <f t="shared" si="2"/>
        <v>59.930734292202871</v>
      </c>
      <c r="O37" s="6"/>
      <c r="P37" s="10"/>
      <c r="Q37" s="45"/>
      <c r="R37" s="13"/>
      <c r="S37" s="5"/>
      <c r="T37" s="6"/>
      <c r="U37" s="5"/>
      <c r="V37" s="6"/>
      <c r="W37" s="5"/>
      <c r="X37" s="6"/>
      <c r="Y37" s="5"/>
      <c r="Z37" s="6"/>
      <c r="AA37" s="75"/>
      <c r="AB37" s="37">
        <v>2.5</v>
      </c>
      <c r="AC37" s="6"/>
      <c r="AD37" s="41">
        <v>2.5</v>
      </c>
      <c r="AE37" s="6"/>
      <c r="AF37" s="41">
        <v>2.5</v>
      </c>
      <c r="AG37" s="5"/>
      <c r="AH37" s="2"/>
    </row>
    <row r="38" spans="1:34" ht="14.5" x14ac:dyDescent="0.35">
      <c r="A38" s="24">
        <v>12</v>
      </c>
      <c r="B38" s="27" t="s">
        <v>42</v>
      </c>
      <c r="C38" s="2" t="s">
        <v>45</v>
      </c>
      <c r="D38" s="2" t="s">
        <v>127</v>
      </c>
      <c r="E38" s="42" t="s">
        <v>106</v>
      </c>
      <c r="F38" s="98"/>
      <c r="G38" s="98"/>
      <c r="H38" s="91" t="s">
        <v>84</v>
      </c>
      <c r="I38" s="37" t="s">
        <v>8</v>
      </c>
      <c r="J38" s="34">
        <v>2455</v>
      </c>
      <c r="K38" s="34">
        <v>99.33</v>
      </c>
      <c r="L38" s="2">
        <f t="shared" si="1"/>
        <v>9.9700000000000006</v>
      </c>
      <c r="M38" s="26">
        <v>4.2</v>
      </c>
      <c r="N38" s="77">
        <f t="shared" si="2"/>
        <v>58.6701135704458</v>
      </c>
      <c r="O38" s="6"/>
      <c r="P38" s="10"/>
      <c r="Q38" s="45"/>
      <c r="R38" s="13"/>
      <c r="S38" s="5"/>
      <c r="T38" s="6"/>
      <c r="U38" s="5"/>
      <c r="V38" s="6"/>
      <c r="W38" s="5"/>
      <c r="X38" s="6"/>
      <c r="Y38" s="75"/>
      <c r="Z38" s="26"/>
      <c r="AA38" s="75"/>
      <c r="AB38" s="26"/>
      <c r="AC38" s="6"/>
      <c r="AD38" s="37">
        <v>4.2</v>
      </c>
      <c r="AE38" s="6"/>
      <c r="AF38" s="41">
        <v>4.2</v>
      </c>
      <c r="AG38" s="5"/>
      <c r="AH38" s="2"/>
    </row>
    <row r="39" spans="1:34" ht="14.5" x14ac:dyDescent="0.35">
      <c r="A39" s="24">
        <v>13</v>
      </c>
      <c r="B39" s="27" t="s">
        <v>42</v>
      </c>
      <c r="C39" s="2" t="s">
        <v>46</v>
      </c>
      <c r="D39" s="2" t="s">
        <v>125</v>
      </c>
      <c r="E39" s="42" t="s">
        <v>102</v>
      </c>
      <c r="F39" s="2"/>
      <c r="G39" s="2"/>
      <c r="H39" s="91" t="s">
        <v>84</v>
      </c>
      <c r="I39" s="37" t="s">
        <v>8</v>
      </c>
      <c r="J39" s="34">
        <v>1205</v>
      </c>
      <c r="K39" s="34">
        <v>52.84</v>
      </c>
      <c r="L39" s="2">
        <f t="shared" si="1"/>
        <v>7.57</v>
      </c>
      <c r="M39" s="26">
        <v>3</v>
      </c>
      <c r="N39" s="77">
        <f t="shared" si="2"/>
        <v>57.543843048195811</v>
      </c>
      <c r="O39" s="6"/>
      <c r="P39" s="10"/>
      <c r="Q39" s="45"/>
      <c r="R39" s="13"/>
      <c r="S39" s="5"/>
      <c r="T39" s="6"/>
      <c r="U39" s="5"/>
      <c r="V39" s="6"/>
      <c r="W39" s="5"/>
      <c r="X39" s="6"/>
      <c r="Y39" s="75"/>
      <c r="Z39" s="26"/>
      <c r="AA39" s="75"/>
      <c r="AB39" s="26"/>
      <c r="AC39" s="6"/>
      <c r="AD39" s="37">
        <v>3</v>
      </c>
      <c r="AE39" s="6"/>
      <c r="AF39" s="41">
        <v>3</v>
      </c>
      <c r="AG39" s="5"/>
      <c r="AH39" s="2"/>
    </row>
    <row r="40" spans="1:34" ht="14.5" x14ac:dyDescent="0.35">
      <c r="A40" s="24">
        <v>14</v>
      </c>
      <c r="B40" s="27" t="s">
        <v>90</v>
      </c>
      <c r="C40" s="2" t="s">
        <v>44</v>
      </c>
      <c r="D40" s="2" t="s">
        <v>121</v>
      </c>
      <c r="E40" s="33" t="s">
        <v>115</v>
      </c>
      <c r="F40" s="85"/>
      <c r="G40" s="85"/>
      <c r="H40" s="94" t="s">
        <v>24</v>
      </c>
      <c r="I40" s="37" t="s">
        <v>8</v>
      </c>
      <c r="J40" s="39">
        <v>1963</v>
      </c>
      <c r="K40" s="34">
        <v>82.14</v>
      </c>
      <c r="L40" s="2">
        <f t="shared" si="1"/>
        <v>17.37</v>
      </c>
      <c r="M40" s="26">
        <v>7.9</v>
      </c>
      <c r="N40" s="77">
        <f t="shared" si="2"/>
        <v>52.545838688500339</v>
      </c>
      <c r="O40" s="6"/>
      <c r="P40" s="10"/>
      <c r="Q40" s="45"/>
      <c r="R40" s="13"/>
      <c r="S40" s="5"/>
      <c r="T40" s="6"/>
      <c r="U40" s="5"/>
      <c r="V40" s="6"/>
      <c r="W40" s="75"/>
      <c r="X40" s="26"/>
      <c r="Y40" s="75"/>
      <c r="Z40" s="26"/>
      <c r="AA40" s="75"/>
      <c r="AB40" s="26"/>
      <c r="AC40" s="6"/>
      <c r="AD40" s="37">
        <v>7.9</v>
      </c>
      <c r="AE40" s="6"/>
      <c r="AF40" s="41">
        <v>7.9</v>
      </c>
      <c r="AG40" s="5"/>
      <c r="AH40" s="2"/>
    </row>
    <row r="41" spans="1:34" ht="14.5" x14ac:dyDescent="0.35">
      <c r="A41" s="24">
        <v>15</v>
      </c>
      <c r="B41" s="27" t="s">
        <v>42</v>
      </c>
      <c r="C41" s="2" t="s">
        <v>44</v>
      </c>
      <c r="D41" s="2" t="s">
        <v>125</v>
      </c>
      <c r="E41" s="42" t="s">
        <v>103</v>
      </c>
      <c r="F41" s="2"/>
      <c r="G41" s="2"/>
      <c r="H41" s="91" t="s">
        <v>84</v>
      </c>
      <c r="I41" s="37" t="s">
        <v>8</v>
      </c>
      <c r="J41" s="34">
        <v>1205</v>
      </c>
      <c r="K41" s="34">
        <v>52.84</v>
      </c>
      <c r="L41" s="2">
        <f t="shared" si="1"/>
        <v>18.57</v>
      </c>
      <c r="M41" s="26">
        <v>8.5</v>
      </c>
      <c r="N41" s="77">
        <f t="shared" si="2"/>
        <v>49.821547846996481</v>
      </c>
      <c r="O41" s="6"/>
      <c r="P41" s="10"/>
      <c r="Q41" s="45"/>
      <c r="R41" s="13"/>
      <c r="S41" s="5"/>
      <c r="T41" s="6"/>
      <c r="U41" s="5"/>
      <c r="V41" s="6"/>
      <c r="W41" s="5"/>
      <c r="X41" s="6"/>
      <c r="Y41" s="5"/>
      <c r="Z41" s="6"/>
      <c r="AA41" s="75"/>
      <c r="AB41" s="26"/>
      <c r="AC41" s="6"/>
      <c r="AD41" s="37">
        <v>8.5</v>
      </c>
      <c r="AE41" s="6"/>
      <c r="AF41" s="41">
        <v>8.5</v>
      </c>
      <c r="AG41" s="5"/>
      <c r="AH41" s="2"/>
    </row>
    <row r="42" spans="1:34" ht="14.5" x14ac:dyDescent="0.35">
      <c r="A42" s="24">
        <v>16</v>
      </c>
      <c r="B42" s="27" t="s">
        <v>39</v>
      </c>
      <c r="C42" s="2" t="s">
        <v>45</v>
      </c>
      <c r="D42" s="2" t="s">
        <v>57</v>
      </c>
      <c r="E42" s="32" t="s">
        <v>74</v>
      </c>
      <c r="F42" s="88"/>
      <c r="G42" s="88"/>
      <c r="H42" s="2" t="s">
        <v>84</v>
      </c>
      <c r="I42" s="37" t="s">
        <v>8</v>
      </c>
      <c r="J42" s="39">
        <v>1309</v>
      </c>
      <c r="K42" s="26">
        <v>76.28</v>
      </c>
      <c r="L42" s="16">
        <f t="shared" si="1"/>
        <v>7.57</v>
      </c>
      <c r="M42" s="26">
        <v>3</v>
      </c>
      <c r="N42" s="77">
        <f t="shared" si="2"/>
        <v>43.301564411816116</v>
      </c>
      <c r="O42" s="6"/>
      <c r="P42" s="10"/>
      <c r="Q42" s="45"/>
      <c r="R42" s="13"/>
      <c r="S42" s="5"/>
      <c r="T42" s="6"/>
      <c r="U42" s="5"/>
      <c r="V42" s="6"/>
      <c r="W42" s="75"/>
      <c r="X42" s="26"/>
      <c r="Y42" s="75"/>
      <c r="Z42" s="26"/>
      <c r="AA42" s="75"/>
      <c r="AB42" s="26"/>
      <c r="AC42" s="6"/>
      <c r="AD42" s="37">
        <v>3</v>
      </c>
      <c r="AE42" s="6"/>
      <c r="AF42" s="41">
        <v>3</v>
      </c>
      <c r="AG42" s="5"/>
      <c r="AH42" s="2"/>
    </row>
    <row r="43" spans="1:34" ht="14.5" x14ac:dyDescent="0.35">
      <c r="A43" s="24">
        <v>17</v>
      </c>
      <c r="B43" s="27" t="s">
        <v>39</v>
      </c>
      <c r="C43" s="2" t="s">
        <v>45</v>
      </c>
      <c r="D43" s="2" t="s">
        <v>57</v>
      </c>
      <c r="E43" s="33" t="s">
        <v>117</v>
      </c>
      <c r="F43" s="85"/>
      <c r="G43" s="85"/>
      <c r="H43" s="94" t="s">
        <v>24</v>
      </c>
      <c r="I43" s="37" t="s">
        <v>8</v>
      </c>
      <c r="J43" s="39">
        <v>1309</v>
      </c>
      <c r="K43" s="26">
        <v>76.28</v>
      </c>
      <c r="L43" s="2">
        <f t="shared" si="1"/>
        <v>8.57</v>
      </c>
      <c r="M43" s="26">
        <v>3.5</v>
      </c>
      <c r="N43" s="77">
        <f t="shared" si="2"/>
        <v>42.018615626638699</v>
      </c>
      <c r="O43" s="6"/>
      <c r="P43" s="10"/>
      <c r="Q43" s="45"/>
      <c r="R43" s="13"/>
      <c r="S43" s="5"/>
      <c r="T43" s="6"/>
      <c r="U43" s="5"/>
      <c r="V43" s="6"/>
      <c r="W43" s="5"/>
      <c r="X43" s="6"/>
      <c r="Y43" s="5"/>
      <c r="Z43" s="6"/>
      <c r="AA43" s="75"/>
      <c r="AB43" s="26"/>
      <c r="AC43" s="6"/>
      <c r="AD43" s="6"/>
      <c r="AE43" s="6"/>
      <c r="AF43" s="37">
        <v>3.5</v>
      </c>
      <c r="AG43" s="5"/>
      <c r="AH43" s="2"/>
    </row>
    <row r="44" spans="1:34" ht="14.5" x14ac:dyDescent="0.35">
      <c r="A44" s="24">
        <v>18</v>
      </c>
      <c r="B44" s="27" t="s">
        <v>42</v>
      </c>
      <c r="C44" s="2" t="s">
        <v>95</v>
      </c>
      <c r="D44" s="2" t="s">
        <v>128</v>
      </c>
      <c r="E44" s="33" t="s">
        <v>107</v>
      </c>
      <c r="F44" s="85"/>
      <c r="G44" s="85"/>
      <c r="H44" s="91" t="s">
        <v>24</v>
      </c>
      <c r="I44" s="37" t="s">
        <v>8</v>
      </c>
      <c r="J44" s="34">
        <f>1981+536</f>
        <v>2517</v>
      </c>
      <c r="K44" s="34">
        <f>133.77+23.89</f>
        <v>157.66000000000003</v>
      </c>
      <c r="L44" s="2">
        <f t="shared" si="1"/>
        <v>11.57</v>
      </c>
      <c r="M44" s="26">
        <v>5</v>
      </c>
      <c r="N44" s="77">
        <f t="shared" si="2"/>
        <v>36.942395027273875</v>
      </c>
      <c r="O44" s="6"/>
      <c r="P44" s="10"/>
      <c r="Q44" s="45"/>
      <c r="R44" s="13"/>
      <c r="S44" s="5"/>
      <c r="T44" s="6"/>
      <c r="U44" s="5"/>
      <c r="V44" s="6"/>
      <c r="W44" s="5"/>
      <c r="X44" s="6"/>
      <c r="Y44" s="75"/>
      <c r="Z44" s="26"/>
      <c r="AA44" s="75"/>
      <c r="AB44" s="26"/>
      <c r="AC44" s="6"/>
      <c r="AD44" s="6"/>
      <c r="AE44" s="6"/>
      <c r="AF44" s="37">
        <v>5</v>
      </c>
      <c r="AG44" s="5"/>
      <c r="AH44" s="2"/>
    </row>
    <row r="45" spans="1:34" ht="14.5" x14ac:dyDescent="0.35">
      <c r="A45" s="24">
        <v>19</v>
      </c>
      <c r="B45" s="27" t="s">
        <v>41</v>
      </c>
      <c r="C45" s="2" t="s">
        <v>46</v>
      </c>
      <c r="D45" s="2" t="s">
        <v>133</v>
      </c>
      <c r="E45" s="33" t="s">
        <v>113</v>
      </c>
      <c r="F45" s="2"/>
      <c r="G45" s="2"/>
      <c r="H45" s="93" t="s">
        <v>84</v>
      </c>
      <c r="I45" s="37" t="s">
        <v>8</v>
      </c>
      <c r="J45" s="26">
        <f>1205+1273</f>
        <v>2478</v>
      </c>
      <c r="K45" s="34">
        <f>94.35+95.85</f>
        <v>190.2</v>
      </c>
      <c r="L45" s="2">
        <f t="shared" si="1"/>
        <v>9.57</v>
      </c>
      <c r="M45" s="26">
        <v>4</v>
      </c>
      <c r="N45" s="77">
        <f t="shared" si="2"/>
        <v>31.170425867507888</v>
      </c>
      <c r="O45" s="6"/>
      <c r="P45" s="10"/>
      <c r="Q45" s="45"/>
      <c r="R45" s="13"/>
      <c r="S45" s="5"/>
      <c r="T45" s="6"/>
      <c r="U45" s="5"/>
      <c r="V45" s="6"/>
      <c r="W45" s="5"/>
      <c r="X45" s="6"/>
      <c r="Y45" s="5"/>
      <c r="Z45" s="6"/>
      <c r="AA45" s="75"/>
      <c r="AB45" s="26"/>
      <c r="AC45" s="6"/>
      <c r="AD45" s="6"/>
      <c r="AE45" s="6"/>
      <c r="AF45" s="37">
        <v>4</v>
      </c>
      <c r="AG45" s="5"/>
      <c r="AH45" s="2"/>
    </row>
    <row r="46" spans="1:34" ht="14.5" x14ac:dyDescent="0.35">
      <c r="A46" s="24">
        <v>20</v>
      </c>
      <c r="B46" s="26" t="s">
        <v>87</v>
      </c>
      <c r="C46" s="2" t="s">
        <v>94</v>
      </c>
      <c r="D46" s="2" t="s">
        <v>94</v>
      </c>
      <c r="E46" s="29" t="s">
        <v>111</v>
      </c>
      <c r="F46" s="85"/>
      <c r="G46" s="85"/>
      <c r="H46" s="95" t="s">
        <v>135</v>
      </c>
      <c r="I46" s="52" t="s">
        <v>25</v>
      </c>
      <c r="J46" s="78">
        <v>1302</v>
      </c>
      <c r="K46" s="72">
        <v>119.69</v>
      </c>
      <c r="L46" s="68">
        <f t="shared" si="1"/>
        <v>17.57</v>
      </c>
      <c r="M46" s="51">
        <v>8</v>
      </c>
      <c r="N46" s="77">
        <f t="shared" si="2"/>
        <v>23.891030996741581</v>
      </c>
      <c r="O46" s="84"/>
      <c r="P46" s="10"/>
      <c r="Q46" s="73"/>
      <c r="R46" s="69"/>
      <c r="S46" s="5"/>
      <c r="T46" s="6"/>
      <c r="U46" s="5"/>
      <c r="V46" s="6"/>
      <c r="W46" s="5"/>
      <c r="X46" s="6"/>
      <c r="Y46" s="5"/>
      <c r="Z46" s="6"/>
      <c r="AA46" s="75"/>
      <c r="AB46" s="26"/>
      <c r="AC46" s="6"/>
      <c r="AD46" s="6"/>
      <c r="AE46" s="6"/>
      <c r="AF46" s="71">
        <v>8</v>
      </c>
      <c r="AG46" s="5"/>
      <c r="AH46" s="2"/>
    </row>
    <row r="47" spans="1:34" ht="14.5" x14ac:dyDescent="0.35">
      <c r="A47" s="24">
        <v>21</v>
      </c>
      <c r="B47" s="27" t="s">
        <v>42</v>
      </c>
      <c r="C47" s="2" t="s">
        <v>46</v>
      </c>
      <c r="D47" s="2" t="s">
        <v>125</v>
      </c>
      <c r="E47" s="42" t="s">
        <v>104</v>
      </c>
      <c r="F47" s="85"/>
      <c r="G47" s="85"/>
      <c r="H47" s="91" t="s">
        <v>84</v>
      </c>
      <c r="I47" s="37" t="s">
        <v>8</v>
      </c>
      <c r="J47" s="34">
        <v>887</v>
      </c>
      <c r="K47" s="34">
        <v>97.5</v>
      </c>
      <c r="L47" s="2">
        <f t="shared" si="1"/>
        <v>7.67</v>
      </c>
      <c r="M47" s="26">
        <v>3.05</v>
      </c>
      <c r="N47" s="77">
        <f t="shared" si="2"/>
        <v>22.877814207650275</v>
      </c>
      <c r="O47" s="6"/>
      <c r="P47" s="10"/>
      <c r="Q47" s="45"/>
      <c r="R47" s="13"/>
      <c r="S47" s="5"/>
      <c r="T47" s="6"/>
      <c r="U47" s="5"/>
      <c r="V47" s="6"/>
      <c r="W47" s="75"/>
      <c r="X47" s="51"/>
      <c r="Y47" s="75"/>
      <c r="Z47" s="51"/>
      <c r="AA47" s="75"/>
      <c r="AB47" s="51"/>
      <c r="AC47" s="6"/>
      <c r="AD47" s="6"/>
      <c r="AE47" s="6"/>
      <c r="AF47" s="37">
        <v>3.05</v>
      </c>
      <c r="AG47" s="5"/>
      <c r="AH47" s="2"/>
    </row>
    <row r="48" spans="1:34" ht="14.4" customHeight="1" x14ac:dyDescent="0.3">
      <c r="A48" s="868" t="s">
        <v>142</v>
      </c>
      <c r="B48" s="868"/>
      <c r="C48" s="868"/>
      <c r="D48" s="868"/>
      <c r="E48" s="868"/>
      <c r="F48" s="868"/>
      <c r="G48" s="868"/>
      <c r="H48" s="868"/>
      <c r="I48" s="868"/>
      <c r="J48" s="868"/>
      <c r="K48" s="868"/>
      <c r="L48" s="868"/>
      <c r="M48" s="868"/>
      <c r="N48" s="868"/>
      <c r="O48" s="868"/>
      <c r="P48" s="868"/>
      <c r="Q48" s="868"/>
      <c r="R48" s="373" t="s">
        <v>17</v>
      </c>
      <c r="S48" s="53"/>
      <c r="T48" s="53"/>
      <c r="U48" s="47"/>
      <c r="V48" s="55">
        <f>SUM(V8:V18)</f>
        <v>46.85</v>
      </c>
      <c r="W48" s="47"/>
      <c r="X48" s="56">
        <f>SUM(X8:X25)</f>
        <v>62.95000000000001</v>
      </c>
      <c r="Y48" s="47"/>
      <c r="Z48" s="56">
        <f>SUM(Z27:Z29,Z8:Z25)</f>
        <v>76.7</v>
      </c>
      <c r="AA48" s="47"/>
      <c r="AB48" s="57">
        <f>SUM(AB27:AB32,AB19:AB25)</f>
        <v>53.850000000000009</v>
      </c>
      <c r="AC48" s="57"/>
      <c r="AD48" s="57">
        <f>SUM(AD27:AD37,AD8:AD18)</f>
        <v>105.90000000000002</v>
      </c>
      <c r="AE48" s="57"/>
      <c r="AF48" s="57">
        <f>SUM(AF30:AF42,AF8:AF25)</f>
        <v>134.85000000000002</v>
      </c>
      <c r="AG48" s="58"/>
      <c r="AH48" s="58">
        <f>T48+V48+X48+Z48+AB48+AD48+AF48</f>
        <v>481.10000000000008</v>
      </c>
    </row>
    <row r="49" spans="1:34" x14ac:dyDescent="0.3">
      <c r="A49" s="868"/>
      <c r="B49" s="868"/>
      <c r="C49" s="868"/>
      <c r="D49" s="868"/>
      <c r="E49" s="868"/>
      <c r="F49" s="868"/>
      <c r="G49" s="868"/>
      <c r="H49" s="868"/>
      <c r="I49" s="868"/>
      <c r="J49" s="868"/>
      <c r="K49" s="868"/>
      <c r="L49" s="868"/>
      <c r="M49" s="868"/>
      <c r="N49" s="868"/>
      <c r="O49" s="868"/>
      <c r="P49" s="868"/>
      <c r="Q49" s="868"/>
      <c r="R49" s="374" t="s">
        <v>18</v>
      </c>
      <c r="S49" s="48"/>
      <c r="T49" s="8">
        <f>T8+T9+T10+T14</f>
        <v>26.65</v>
      </c>
      <c r="U49" s="8"/>
      <c r="V49" s="8"/>
      <c r="W49" s="8"/>
      <c r="X49" s="8"/>
      <c r="Y49" s="8"/>
      <c r="Z49" s="8"/>
      <c r="AA49" s="48"/>
      <c r="AB49" s="9">
        <f>SUM(AB8:AB18)</f>
        <v>46.85</v>
      </c>
      <c r="AC49" s="9"/>
      <c r="AD49" s="9">
        <f>SUM(AD48,AD19:AD25)</f>
        <v>122.00000000000003</v>
      </c>
      <c r="AE49" s="9"/>
      <c r="AF49" s="9">
        <f>SUM(AF27:AF29)</f>
        <v>13.75</v>
      </c>
      <c r="AG49" s="377"/>
      <c r="AH49" s="377">
        <f>T49+V49+X49+Z49+AB49+AD49+AF49</f>
        <v>209.25000000000003</v>
      </c>
    </row>
    <row r="50" spans="1:34" x14ac:dyDescent="0.3">
      <c r="A50" s="868"/>
      <c r="B50" s="868"/>
      <c r="C50" s="868"/>
      <c r="D50" s="868"/>
      <c r="E50" s="868"/>
      <c r="F50" s="868"/>
      <c r="G50" s="868"/>
      <c r="H50" s="868"/>
      <c r="I50" s="868"/>
      <c r="J50" s="868"/>
      <c r="K50" s="868"/>
      <c r="L50" s="868"/>
      <c r="M50" s="868"/>
      <c r="N50" s="868"/>
      <c r="O50" s="868"/>
      <c r="P50" s="868"/>
      <c r="Q50" s="868"/>
      <c r="R50" s="375" t="s">
        <v>19</v>
      </c>
      <c r="S50" s="10"/>
      <c r="T50" s="54">
        <f>T11+T12+T13+T15+T16+T17+T18</f>
        <v>20.2</v>
      </c>
      <c r="U50" s="10"/>
      <c r="V50" s="4"/>
      <c r="W50" s="10"/>
      <c r="X50" s="4">
        <f>SUM(X27:X29)</f>
        <v>13.75</v>
      </c>
      <c r="Y50" s="10"/>
      <c r="Z50" s="4">
        <f>SUM(Z30:Z32)</f>
        <v>24.000000000000004</v>
      </c>
      <c r="AA50" s="10"/>
      <c r="AB50" s="4">
        <f>SUM(AB33:AB37)</f>
        <v>21.3</v>
      </c>
      <c r="AC50" s="4"/>
      <c r="AD50" s="4">
        <f>SUM(AD38:AD42)</f>
        <v>26.6</v>
      </c>
      <c r="AE50" s="4"/>
      <c r="AF50" s="4">
        <f>SUM(AF43:AF47)</f>
        <v>23.55</v>
      </c>
      <c r="AG50" s="376"/>
      <c r="AH50" s="376">
        <f>T50+V50+X50+Z50+AB50+AD50+AF50</f>
        <v>129.4</v>
      </c>
    </row>
    <row r="51" spans="1:34" x14ac:dyDescent="0.3">
      <c r="A51" s="868"/>
      <c r="B51" s="868"/>
      <c r="C51" s="868"/>
      <c r="D51" s="868"/>
      <c r="E51" s="868"/>
      <c r="F51" s="868"/>
      <c r="G51" s="868"/>
      <c r="H51" s="868"/>
      <c r="I51" s="868"/>
      <c r="J51" s="868"/>
      <c r="K51" s="868"/>
      <c r="L51" s="868"/>
      <c r="M51" s="868"/>
      <c r="N51" s="868"/>
      <c r="O51" s="868"/>
      <c r="P51" s="868"/>
      <c r="Q51" s="868"/>
      <c r="R51" s="216" t="s">
        <v>20</v>
      </c>
      <c r="S51" s="12"/>
      <c r="T51" s="59">
        <f>SUM(T48:T50)</f>
        <v>46.849999999999994</v>
      </c>
      <c r="U51" s="59"/>
      <c r="V51" s="59">
        <f t="shared" ref="V51:AF51" si="3">SUM(V48:V50)</f>
        <v>46.85</v>
      </c>
      <c r="W51" s="59"/>
      <c r="X51" s="59">
        <f t="shared" si="3"/>
        <v>76.700000000000017</v>
      </c>
      <c r="Y51" s="59"/>
      <c r="Z51" s="59">
        <f t="shared" si="3"/>
        <v>100.7</v>
      </c>
      <c r="AA51" s="59"/>
      <c r="AB51" s="59">
        <f t="shared" si="3"/>
        <v>122.00000000000001</v>
      </c>
      <c r="AC51" s="59"/>
      <c r="AD51" s="59">
        <f t="shared" si="3"/>
        <v>254.50000000000003</v>
      </c>
      <c r="AE51" s="59"/>
      <c r="AF51" s="59">
        <f t="shared" si="3"/>
        <v>172.15000000000003</v>
      </c>
      <c r="AG51" s="12"/>
      <c r="AH51" s="11"/>
    </row>
  </sheetData>
  <sortState xmlns:xlrd2="http://schemas.microsoft.com/office/spreadsheetml/2017/richdata2" ref="A27:N52">
    <sortCondition descending="1" ref="N27:N52"/>
  </sortState>
  <mergeCells count="49">
    <mergeCell ref="J2:J7"/>
    <mergeCell ref="Q2:R3"/>
    <mergeCell ref="K2:K7"/>
    <mergeCell ref="M2:M7"/>
    <mergeCell ref="Q4:Q7"/>
    <mergeCell ref="R4:R7"/>
    <mergeCell ref="L2:L7"/>
    <mergeCell ref="P2:P7"/>
    <mergeCell ref="F2:G3"/>
    <mergeCell ref="F4:F7"/>
    <mergeCell ref="G4:G7"/>
    <mergeCell ref="H4:H7"/>
    <mergeCell ref="H2:I3"/>
    <mergeCell ref="A2:A7"/>
    <mergeCell ref="B2:B7"/>
    <mergeCell ref="C2:C7"/>
    <mergeCell ref="D2:D7"/>
    <mergeCell ref="E2:E7"/>
    <mergeCell ref="AH6:AH7"/>
    <mergeCell ref="Y6:Y7"/>
    <mergeCell ref="Z6:Z7"/>
    <mergeCell ref="AA6:AA7"/>
    <mergeCell ref="W6:W7"/>
    <mergeCell ref="X6:X7"/>
    <mergeCell ref="AB6:AB7"/>
    <mergeCell ref="AG6:AG7"/>
    <mergeCell ref="W4:X5"/>
    <mergeCell ref="Y4:Z5"/>
    <mergeCell ref="AA4:AB5"/>
    <mergeCell ref="AG4:AH5"/>
    <mergeCell ref="S3:V3"/>
    <mergeCell ref="W3:Z3"/>
    <mergeCell ref="AC4:AD5"/>
    <mergeCell ref="A48:Q51"/>
    <mergeCell ref="AA3:AF3"/>
    <mergeCell ref="AC6:AC7"/>
    <mergeCell ref="AD6:AD7"/>
    <mergeCell ref="AE4:AF5"/>
    <mergeCell ref="AE6:AE7"/>
    <mergeCell ref="AF6:AF7"/>
    <mergeCell ref="S6:S7"/>
    <mergeCell ref="T6:T7"/>
    <mergeCell ref="U6:U7"/>
    <mergeCell ref="V6:V7"/>
    <mergeCell ref="N2:N7"/>
    <mergeCell ref="O2:O7"/>
    <mergeCell ref="S2:AH2"/>
    <mergeCell ref="S4:T5"/>
    <mergeCell ref="U4:V5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AK54"/>
  <sheetViews>
    <sheetView zoomScale="50" zoomScaleNormal="50" workbookViewId="0">
      <pane xSplit="10" ySplit="8" topLeftCell="K42" activePane="bottomRight" state="frozen"/>
      <selection pane="topRight" activeCell="K1" sqref="K1"/>
      <selection pane="bottomLeft" activeCell="A8" sqref="A8"/>
      <selection pane="bottomRight" activeCell="F48" sqref="F48:I48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5" customWidth="1"/>
    <col min="13" max="15" width="12" style="1" customWidth="1"/>
    <col min="16" max="16" width="13" style="1" customWidth="1"/>
    <col min="17" max="18" width="12" style="1" customWidth="1"/>
    <col min="19" max="19" width="12" style="7" customWidth="1"/>
    <col min="20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977" t="s">
        <v>152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  <c r="Z1" s="977"/>
      <c r="AA1" s="977"/>
      <c r="AB1" s="977"/>
      <c r="AC1" s="977"/>
      <c r="AD1" s="977"/>
      <c r="AE1" s="977"/>
      <c r="AF1" s="977"/>
      <c r="AG1" s="977"/>
      <c r="AH1" s="977"/>
      <c r="AI1" s="977"/>
      <c r="AJ1" s="977"/>
      <c r="AK1" s="977"/>
    </row>
    <row r="2" spans="1:37" ht="46.25" customHeight="1" thickBot="1" x14ac:dyDescent="0.35">
      <c r="O2" s="101">
        <f>((3.14*2^2)/4)/2</f>
        <v>1.57</v>
      </c>
    </row>
    <row r="3" spans="1:37" ht="34.25" customHeight="1" x14ac:dyDescent="0.3">
      <c r="A3" s="978" t="s">
        <v>33</v>
      </c>
      <c r="B3" s="981" t="s">
        <v>34</v>
      </c>
      <c r="C3" s="984" t="s">
        <v>0</v>
      </c>
      <c r="D3" s="987" t="s">
        <v>150</v>
      </c>
      <c r="E3" s="987" t="s">
        <v>2</v>
      </c>
      <c r="F3" s="987" t="s">
        <v>3</v>
      </c>
      <c r="G3" s="987"/>
      <c r="H3" s="987" t="s">
        <v>147</v>
      </c>
      <c r="I3" s="987"/>
      <c r="J3" s="963" t="s">
        <v>6</v>
      </c>
      <c r="K3" s="992" t="s">
        <v>26</v>
      </c>
      <c r="L3" s="992"/>
      <c r="M3" s="968" t="s">
        <v>27</v>
      </c>
      <c r="N3" s="968" t="s">
        <v>28</v>
      </c>
      <c r="O3" s="971" t="s">
        <v>32</v>
      </c>
      <c r="P3" s="974" t="s">
        <v>139</v>
      </c>
      <c r="Q3" s="932" t="s">
        <v>143</v>
      </c>
      <c r="R3" s="932" t="s">
        <v>148</v>
      </c>
      <c r="S3" s="935" t="s">
        <v>9</v>
      </c>
      <c r="T3" s="935"/>
      <c r="U3" s="954" t="s">
        <v>151</v>
      </c>
      <c r="V3" s="937" t="s">
        <v>149</v>
      </c>
      <c r="W3" s="938"/>
      <c r="X3" s="938"/>
      <c r="Y3" s="938"/>
      <c r="Z3" s="938"/>
      <c r="AA3" s="938"/>
      <c r="AB3" s="938"/>
      <c r="AC3" s="938"/>
      <c r="AD3" s="938"/>
      <c r="AE3" s="938"/>
      <c r="AF3" s="938"/>
      <c r="AG3" s="938"/>
      <c r="AH3" s="938"/>
      <c r="AI3" s="938"/>
      <c r="AJ3" s="938"/>
      <c r="AK3" s="939"/>
    </row>
    <row r="4" spans="1:37" ht="42" customHeight="1" x14ac:dyDescent="0.3">
      <c r="A4" s="979"/>
      <c r="B4" s="982"/>
      <c r="C4" s="985"/>
      <c r="D4" s="988"/>
      <c r="E4" s="988"/>
      <c r="F4" s="988"/>
      <c r="G4" s="988"/>
      <c r="H4" s="988"/>
      <c r="I4" s="988"/>
      <c r="J4" s="964"/>
      <c r="K4" s="993"/>
      <c r="L4" s="993"/>
      <c r="M4" s="969"/>
      <c r="N4" s="969"/>
      <c r="O4" s="972"/>
      <c r="P4" s="975"/>
      <c r="Q4" s="933"/>
      <c r="R4" s="933"/>
      <c r="S4" s="936"/>
      <c r="T4" s="936"/>
      <c r="U4" s="955"/>
      <c r="V4" s="940" t="s">
        <v>21</v>
      </c>
      <c r="W4" s="940"/>
      <c r="X4" s="940"/>
      <c r="Y4" s="940"/>
      <c r="Z4" s="953" t="s">
        <v>22</v>
      </c>
      <c r="AA4" s="953"/>
      <c r="AB4" s="953"/>
      <c r="AC4" s="953"/>
      <c r="AD4" s="953"/>
      <c r="AE4" s="953"/>
      <c r="AF4" s="951" t="s">
        <v>19</v>
      </c>
      <c r="AG4" s="951"/>
      <c r="AH4" s="951"/>
      <c r="AI4" s="951"/>
      <c r="AJ4" s="951"/>
      <c r="AK4" s="952"/>
    </row>
    <row r="5" spans="1:37" ht="30" customHeight="1" x14ac:dyDescent="0.45">
      <c r="A5" s="979"/>
      <c r="B5" s="982"/>
      <c r="C5" s="985"/>
      <c r="D5" s="988"/>
      <c r="E5" s="988"/>
      <c r="F5" s="990" t="s">
        <v>4</v>
      </c>
      <c r="G5" s="990" t="s">
        <v>5</v>
      </c>
      <c r="H5" s="990" t="s">
        <v>4</v>
      </c>
      <c r="I5" s="990" t="s">
        <v>5</v>
      </c>
      <c r="J5" s="964"/>
      <c r="K5" s="966" t="s">
        <v>7</v>
      </c>
      <c r="L5" s="212" t="s">
        <v>14</v>
      </c>
      <c r="M5" s="969"/>
      <c r="N5" s="969"/>
      <c r="O5" s="972"/>
      <c r="P5" s="975"/>
      <c r="Q5" s="933"/>
      <c r="R5" s="933"/>
      <c r="S5" s="941" t="s">
        <v>10</v>
      </c>
      <c r="T5" s="943" t="s">
        <v>11</v>
      </c>
      <c r="U5" s="955"/>
      <c r="V5" s="945">
        <v>2021</v>
      </c>
      <c r="W5" s="946"/>
      <c r="X5" s="945">
        <v>2022</v>
      </c>
      <c r="Y5" s="946"/>
      <c r="Z5" s="913">
        <v>2023</v>
      </c>
      <c r="AA5" s="914"/>
      <c r="AB5" s="913">
        <v>2024</v>
      </c>
      <c r="AC5" s="914"/>
      <c r="AD5" s="913">
        <v>2025</v>
      </c>
      <c r="AE5" s="914"/>
      <c r="AF5" s="913">
        <v>2026</v>
      </c>
      <c r="AG5" s="914"/>
      <c r="AH5" s="913">
        <v>2027</v>
      </c>
      <c r="AI5" s="914"/>
      <c r="AJ5" s="959" t="s">
        <v>11</v>
      </c>
      <c r="AK5" s="960"/>
    </row>
    <row r="6" spans="1:37" ht="30" customHeight="1" x14ac:dyDescent="0.45">
      <c r="A6" s="979"/>
      <c r="B6" s="982"/>
      <c r="C6" s="985"/>
      <c r="D6" s="988"/>
      <c r="E6" s="988"/>
      <c r="F6" s="990"/>
      <c r="G6" s="990"/>
      <c r="H6" s="990"/>
      <c r="I6" s="990"/>
      <c r="J6" s="964"/>
      <c r="K6" s="966"/>
      <c r="L6" s="213" t="s">
        <v>15</v>
      </c>
      <c r="M6" s="969"/>
      <c r="N6" s="969"/>
      <c r="O6" s="972"/>
      <c r="P6" s="975"/>
      <c r="Q6" s="933"/>
      <c r="R6" s="933"/>
      <c r="S6" s="941"/>
      <c r="T6" s="943"/>
      <c r="U6" s="955"/>
      <c r="V6" s="947"/>
      <c r="W6" s="948"/>
      <c r="X6" s="947"/>
      <c r="Y6" s="948"/>
      <c r="Z6" s="915"/>
      <c r="AA6" s="916"/>
      <c r="AB6" s="915"/>
      <c r="AC6" s="916"/>
      <c r="AD6" s="915"/>
      <c r="AE6" s="916"/>
      <c r="AF6" s="915"/>
      <c r="AG6" s="916"/>
      <c r="AH6" s="915"/>
      <c r="AI6" s="916"/>
      <c r="AJ6" s="961"/>
      <c r="AK6" s="962"/>
    </row>
    <row r="7" spans="1:37" ht="30" customHeight="1" x14ac:dyDescent="0.45">
      <c r="A7" s="979"/>
      <c r="B7" s="982"/>
      <c r="C7" s="985"/>
      <c r="D7" s="988"/>
      <c r="E7" s="988"/>
      <c r="F7" s="990"/>
      <c r="G7" s="990"/>
      <c r="H7" s="990"/>
      <c r="I7" s="990"/>
      <c r="J7" s="964"/>
      <c r="K7" s="966"/>
      <c r="L7" s="214" t="s">
        <v>16</v>
      </c>
      <c r="M7" s="969"/>
      <c r="N7" s="969"/>
      <c r="O7" s="972"/>
      <c r="P7" s="975"/>
      <c r="Q7" s="933"/>
      <c r="R7" s="933"/>
      <c r="S7" s="941"/>
      <c r="T7" s="943"/>
      <c r="U7" s="955"/>
      <c r="V7" s="957" t="s">
        <v>12</v>
      </c>
      <c r="W7" s="957" t="s">
        <v>13</v>
      </c>
      <c r="X7" s="957" t="s">
        <v>12</v>
      </c>
      <c r="Y7" s="957" t="s">
        <v>13</v>
      </c>
      <c r="Z7" s="917" t="s">
        <v>12</v>
      </c>
      <c r="AA7" s="917" t="s">
        <v>13</v>
      </c>
      <c r="AB7" s="917" t="s">
        <v>12</v>
      </c>
      <c r="AC7" s="917" t="s">
        <v>13</v>
      </c>
      <c r="AD7" s="917" t="s">
        <v>12</v>
      </c>
      <c r="AE7" s="919" t="s">
        <v>13</v>
      </c>
      <c r="AF7" s="917" t="s">
        <v>12</v>
      </c>
      <c r="AG7" s="919" t="s">
        <v>13</v>
      </c>
      <c r="AH7" s="917" t="s">
        <v>12</v>
      </c>
      <c r="AI7" s="919" t="s">
        <v>13</v>
      </c>
      <c r="AJ7" s="921" t="s">
        <v>12</v>
      </c>
      <c r="AK7" s="949" t="s">
        <v>13</v>
      </c>
    </row>
    <row r="8" spans="1:37" ht="30" customHeight="1" thickBot="1" x14ac:dyDescent="0.5">
      <c r="A8" s="980"/>
      <c r="B8" s="983"/>
      <c r="C8" s="986"/>
      <c r="D8" s="989"/>
      <c r="E8" s="989"/>
      <c r="F8" s="991"/>
      <c r="G8" s="991"/>
      <c r="H8" s="991"/>
      <c r="I8" s="991"/>
      <c r="J8" s="965"/>
      <c r="K8" s="967"/>
      <c r="L8" s="215"/>
      <c r="M8" s="970"/>
      <c r="N8" s="970"/>
      <c r="O8" s="973"/>
      <c r="P8" s="976"/>
      <c r="Q8" s="934"/>
      <c r="R8" s="934"/>
      <c r="S8" s="942"/>
      <c r="T8" s="944"/>
      <c r="U8" s="956"/>
      <c r="V8" s="958"/>
      <c r="W8" s="958"/>
      <c r="X8" s="958"/>
      <c r="Y8" s="958"/>
      <c r="Z8" s="918"/>
      <c r="AA8" s="918"/>
      <c r="AB8" s="918"/>
      <c r="AC8" s="918"/>
      <c r="AD8" s="918"/>
      <c r="AE8" s="920"/>
      <c r="AF8" s="918"/>
      <c r="AG8" s="920"/>
      <c r="AH8" s="918"/>
      <c r="AI8" s="920"/>
      <c r="AJ8" s="922"/>
      <c r="AK8" s="950"/>
    </row>
    <row r="9" spans="1:37" ht="33" customHeight="1" x14ac:dyDescent="0.3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225">
        <f>(M9/N9)*O9</f>
        <v>1765.3022697512006</v>
      </c>
      <c r="Q9" s="226"/>
      <c r="R9" s="227"/>
      <c r="S9" s="228">
        <v>5000</v>
      </c>
      <c r="T9" s="221"/>
      <c r="U9" s="229"/>
      <c r="V9" s="220"/>
      <c r="W9" s="230"/>
      <c r="X9" s="220"/>
      <c r="Y9" s="230"/>
      <c r="Z9" s="231">
        <f>5000*AA9</f>
        <v>35000</v>
      </c>
      <c r="AA9" s="232">
        <f t="shared" ref="AA9:AA25" si="0">J9</f>
        <v>7</v>
      </c>
      <c r="AB9" s="231">
        <f>5000*AC9</f>
        <v>35000</v>
      </c>
      <c r="AC9" s="232">
        <f>AA9</f>
        <v>7</v>
      </c>
      <c r="AD9" s="231">
        <f>5000*AE9</f>
        <v>35000</v>
      </c>
      <c r="AE9" s="233">
        <f>AC9</f>
        <v>7</v>
      </c>
      <c r="AF9" s="234">
        <f>31250*AG9</f>
        <v>218750</v>
      </c>
      <c r="AG9" s="235">
        <f>AE9</f>
        <v>7</v>
      </c>
      <c r="AH9" s="231">
        <f>5000*AI9</f>
        <v>35000</v>
      </c>
      <c r="AI9" s="236">
        <f>AG9</f>
        <v>7</v>
      </c>
      <c r="AJ9" s="237"/>
      <c r="AK9" s="238"/>
    </row>
    <row r="10" spans="1:37" ht="33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1">(J10*2)+$O$2</f>
        <v>14.57</v>
      </c>
      <c r="P10" s="135">
        <f t="shared" ref="P10:P25" si="2">(M10/N10)*O10</f>
        <v>1565.218280321566</v>
      </c>
      <c r="Q10" s="148"/>
      <c r="R10" s="149"/>
      <c r="S10" s="136">
        <v>5000</v>
      </c>
      <c r="T10" s="142"/>
      <c r="U10" s="137"/>
      <c r="V10" s="145"/>
      <c r="W10" s="217"/>
      <c r="X10" s="145"/>
      <c r="Y10" s="217"/>
      <c r="Z10" s="138">
        <f t="shared" ref="Z10:Z25" si="3">5000*AA10</f>
        <v>32500</v>
      </c>
      <c r="AA10" s="150">
        <f t="shared" si="0"/>
        <v>6.5</v>
      </c>
      <c r="AB10" s="138">
        <f t="shared" ref="AB10:AB25" si="4">5000*AC10</f>
        <v>32500</v>
      </c>
      <c r="AC10" s="150">
        <f t="shared" ref="AC10:AC25" si="5">AA10</f>
        <v>6.5</v>
      </c>
      <c r="AD10" s="138">
        <f t="shared" ref="AD10:AD25" si="6">5000*AE10</f>
        <v>32500</v>
      </c>
      <c r="AE10" s="151">
        <f t="shared" ref="AE10:AE25" si="7">AC10</f>
        <v>6.5</v>
      </c>
      <c r="AF10" s="139">
        <f t="shared" ref="AF10:AF25" si="8">31250*AG10</f>
        <v>203125</v>
      </c>
      <c r="AG10" s="152">
        <f t="shared" ref="AG10:AG25" si="9">AE10</f>
        <v>6.5</v>
      </c>
      <c r="AH10" s="138">
        <f t="shared" ref="AH10:AH25" si="10">5000*AI10</f>
        <v>32500</v>
      </c>
      <c r="AI10" s="153">
        <f t="shared" ref="AI10:AI25" si="11">AG10</f>
        <v>6.5</v>
      </c>
      <c r="AJ10" s="154"/>
      <c r="AK10" s="239"/>
    </row>
    <row r="11" spans="1:37" ht="33" customHeight="1" x14ac:dyDescent="0.3">
      <c r="A11" s="263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1"/>
        <v>22.57</v>
      </c>
      <c r="P11" s="135">
        <f t="shared" si="2"/>
        <v>577.24744716219425</v>
      </c>
      <c r="Q11" s="148"/>
      <c r="R11" s="149"/>
      <c r="S11" s="136">
        <v>5000</v>
      </c>
      <c r="T11" s="142"/>
      <c r="U11" s="137"/>
      <c r="V11" s="145"/>
      <c r="W11" s="217"/>
      <c r="X11" s="145"/>
      <c r="Y11" s="217"/>
      <c r="Z11" s="138">
        <f t="shared" si="3"/>
        <v>52500</v>
      </c>
      <c r="AA11" s="150">
        <f t="shared" si="0"/>
        <v>10.5</v>
      </c>
      <c r="AB11" s="138">
        <f t="shared" si="4"/>
        <v>52500</v>
      </c>
      <c r="AC11" s="150">
        <f t="shared" si="5"/>
        <v>10.5</v>
      </c>
      <c r="AD11" s="138">
        <f t="shared" si="6"/>
        <v>52500</v>
      </c>
      <c r="AE11" s="151">
        <f t="shared" si="7"/>
        <v>10.5</v>
      </c>
      <c r="AF11" s="139">
        <f t="shared" si="8"/>
        <v>328125</v>
      </c>
      <c r="AG11" s="152">
        <f t="shared" si="9"/>
        <v>10.5</v>
      </c>
      <c r="AH11" s="138">
        <f t="shared" si="10"/>
        <v>52500</v>
      </c>
      <c r="AI11" s="153">
        <f t="shared" si="11"/>
        <v>10.5</v>
      </c>
      <c r="AJ11" s="154"/>
      <c r="AK11" s="239"/>
    </row>
    <row r="12" spans="1:37" ht="33" customHeight="1" thickBot="1" x14ac:dyDescent="0.35">
      <c r="A12" s="140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1"/>
        <v>6.57</v>
      </c>
      <c r="P12" s="135">
        <f t="shared" si="2"/>
        <v>880.36796109662419</v>
      </c>
      <c r="Q12" s="148"/>
      <c r="R12" s="149"/>
      <c r="S12" s="136">
        <v>5000</v>
      </c>
      <c r="T12" s="142"/>
      <c r="U12" s="137"/>
      <c r="V12" s="145"/>
      <c r="W12" s="217"/>
      <c r="X12" s="145"/>
      <c r="Y12" s="217"/>
      <c r="Z12" s="138">
        <f t="shared" si="3"/>
        <v>12500</v>
      </c>
      <c r="AA12" s="150">
        <f t="shared" si="0"/>
        <v>2.5</v>
      </c>
      <c r="AB12" s="138">
        <f t="shared" si="4"/>
        <v>12500</v>
      </c>
      <c r="AC12" s="150">
        <f t="shared" si="5"/>
        <v>2.5</v>
      </c>
      <c r="AD12" s="138">
        <f t="shared" si="6"/>
        <v>12500</v>
      </c>
      <c r="AE12" s="151">
        <f t="shared" si="7"/>
        <v>2.5</v>
      </c>
      <c r="AF12" s="139">
        <f t="shared" si="8"/>
        <v>78125</v>
      </c>
      <c r="AG12" s="152">
        <f t="shared" si="9"/>
        <v>2.5</v>
      </c>
      <c r="AH12" s="138">
        <f t="shared" si="10"/>
        <v>12500</v>
      </c>
      <c r="AI12" s="153">
        <f t="shared" si="11"/>
        <v>2.5</v>
      </c>
      <c r="AJ12" s="154"/>
      <c r="AK12" s="239"/>
    </row>
    <row r="13" spans="1:37" ht="33" customHeight="1" x14ac:dyDescent="0.3">
      <c r="A13" s="263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1"/>
        <v>3.5700000000000003</v>
      </c>
      <c r="P13" s="135">
        <f t="shared" si="2"/>
        <v>478.37345831277759</v>
      </c>
      <c r="Q13" s="148"/>
      <c r="R13" s="149"/>
      <c r="S13" s="136">
        <v>5000</v>
      </c>
      <c r="T13" s="142"/>
      <c r="U13" s="137"/>
      <c r="V13" s="145"/>
      <c r="W13" s="217"/>
      <c r="X13" s="145"/>
      <c r="Y13" s="217"/>
      <c r="Z13" s="138">
        <f t="shared" si="3"/>
        <v>5000</v>
      </c>
      <c r="AA13" s="150">
        <f t="shared" si="0"/>
        <v>1</v>
      </c>
      <c r="AB13" s="138">
        <f t="shared" si="4"/>
        <v>5000</v>
      </c>
      <c r="AC13" s="150">
        <f t="shared" si="5"/>
        <v>1</v>
      </c>
      <c r="AD13" s="138">
        <f t="shared" si="6"/>
        <v>5000</v>
      </c>
      <c r="AE13" s="151">
        <f t="shared" si="7"/>
        <v>1</v>
      </c>
      <c r="AF13" s="139">
        <f t="shared" si="8"/>
        <v>31250</v>
      </c>
      <c r="AG13" s="152">
        <f t="shared" si="9"/>
        <v>1</v>
      </c>
      <c r="AH13" s="138">
        <f t="shared" si="10"/>
        <v>5000</v>
      </c>
      <c r="AI13" s="153">
        <f t="shared" si="11"/>
        <v>1</v>
      </c>
      <c r="AJ13" s="154"/>
      <c r="AK13" s="239"/>
    </row>
    <row r="14" spans="1:37" ht="33" customHeight="1" thickBot="1" x14ac:dyDescent="0.35">
      <c r="A14" s="140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1"/>
        <v>15.57</v>
      </c>
      <c r="P14" s="135">
        <f t="shared" si="2"/>
        <v>1609.8889809444904</v>
      </c>
      <c r="Q14" s="148"/>
      <c r="R14" s="149"/>
      <c r="S14" s="136">
        <v>5000</v>
      </c>
      <c r="T14" s="142"/>
      <c r="U14" s="137"/>
      <c r="V14" s="145"/>
      <c r="W14" s="217"/>
      <c r="X14" s="145"/>
      <c r="Y14" s="217"/>
      <c r="Z14" s="138">
        <f t="shared" si="3"/>
        <v>35000</v>
      </c>
      <c r="AA14" s="150">
        <f t="shared" si="0"/>
        <v>7</v>
      </c>
      <c r="AB14" s="138">
        <f t="shared" si="4"/>
        <v>35000</v>
      </c>
      <c r="AC14" s="150">
        <f t="shared" si="5"/>
        <v>7</v>
      </c>
      <c r="AD14" s="138">
        <f t="shared" si="6"/>
        <v>35000</v>
      </c>
      <c r="AE14" s="151">
        <f t="shared" si="7"/>
        <v>7</v>
      </c>
      <c r="AF14" s="139">
        <f t="shared" si="8"/>
        <v>218750</v>
      </c>
      <c r="AG14" s="152">
        <f t="shared" si="9"/>
        <v>7</v>
      </c>
      <c r="AH14" s="138">
        <f t="shared" si="10"/>
        <v>35000</v>
      </c>
      <c r="AI14" s="153">
        <f t="shared" si="11"/>
        <v>7</v>
      </c>
      <c r="AJ14" s="154"/>
      <c r="AK14" s="239"/>
    </row>
    <row r="15" spans="1:37" ht="41.4" customHeight="1" x14ac:dyDescent="0.3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44"/>
      <c r="G15" s="144"/>
      <c r="H15" s="144"/>
      <c r="I15" s="144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1"/>
        <v>6.87</v>
      </c>
      <c r="P15" s="135">
        <f t="shared" si="2"/>
        <v>560.80988825960503</v>
      </c>
      <c r="Q15" s="148"/>
      <c r="R15" s="149"/>
      <c r="S15" s="136">
        <v>5000</v>
      </c>
      <c r="T15" s="142"/>
      <c r="U15" s="137"/>
      <c r="V15" s="145"/>
      <c r="W15" s="217"/>
      <c r="X15" s="145"/>
      <c r="Y15" s="217"/>
      <c r="Z15" s="138">
        <f t="shared" si="3"/>
        <v>13250</v>
      </c>
      <c r="AA15" s="150">
        <f t="shared" si="0"/>
        <v>2.65</v>
      </c>
      <c r="AB15" s="138">
        <f t="shared" si="4"/>
        <v>13250</v>
      </c>
      <c r="AC15" s="150">
        <f t="shared" si="5"/>
        <v>2.65</v>
      </c>
      <c r="AD15" s="138">
        <f t="shared" si="6"/>
        <v>13250</v>
      </c>
      <c r="AE15" s="151">
        <f t="shared" si="7"/>
        <v>2.65</v>
      </c>
      <c r="AF15" s="139">
        <f t="shared" si="8"/>
        <v>82812.5</v>
      </c>
      <c r="AG15" s="152">
        <f t="shared" si="9"/>
        <v>2.65</v>
      </c>
      <c r="AH15" s="138">
        <f t="shared" si="10"/>
        <v>13250</v>
      </c>
      <c r="AI15" s="153">
        <f t="shared" si="11"/>
        <v>2.65</v>
      </c>
      <c r="AJ15" s="154"/>
      <c r="AK15" s="239"/>
    </row>
    <row r="16" spans="1:37" ht="41.4" customHeight="1" thickBot="1" x14ac:dyDescent="0.35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1"/>
        <v>6.9700000000000006</v>
      </c>
      <c r="P16" s="135">
        <f t="shared" si="2"/>
        <v>199.74167832167834</v>
      </c>
      <c r="Q16" s="148"/>
      <c r="R16" s="149"/>
      <c r="S16" s="136">
        <v>5000</v>
      </c>
      <c r="T16" s="157"/>
      <c r="U16" s="137"/>
      <c r="V16" s="145"/>
      <c r="W16" s="217"/>
      <c r="X16" s="145"/>
      <c r="Y16" s="217"/>
      <c r="Z16" s="138">
        <f t="shared" si="3"/>
        <v>13500</v>
      </c>
      <c r="AA16" s="150">
        <f t="shared" si="0"/>
        <v>2.7</v>
      </c>
      <c r="AB16" s="138">
        <f t="shared" si="4"/>
        <v>13500</v>
      </c>
      <c r="AC16" s="150">
        <f t="shared" si="5"/>
        <v>2.7</v>
      </c>
      <c r="AD16" s="138">
        <f t="shared" si="6"/>
        <v>13500</v>
      </c>
      <c r="AE16" s="151">
        <f t="shared" si="7"/>
        <v>2.7</v>
      </c>
      <c r="AF16" s="139">
        <f t="shared" si="8"/>
        <v>84375</v>
      </c>
      <c r="AG16" s="152">
        <f t="shared" si="9"/>
        <v>2.7</v>
      </c>
      <c r="AH16" s="138">
        <f t="shared" si="10"/>
        <v>13500</v>
      </c>
      <c r="AI16" s="153">
        <f t="shared" si="11"/>
        <v>2.7</v>
      </c>
      <c r="AJ16" s="154"/>
      <c r="AK16" s="239"/>
    </row>
    <row r="17" spans="1:37" ht="41.4" customHeight="1" x14ac:dyDescent="0.3">
      <c r="A17" s="263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1"/>
        <v>6.9700000000000006</v>
      </c>
      <c r="P17" s="135">
        <f t="shared" si="2"/>
        <v>239.7788693957115</v>
      </c>
      <c r="Q17" s="148"/>
      <c r="R17" s="149"/>
      <c r="S17" s="136">
        <v>5000</v>
      </c>
      <c r="T17" s="157"/>
      <c r="U17" s="137"/>
      <c r="V17" s="145"/>
      <c r="W17" s="217"/>
      <c r="X17" s="145"/>
      <c r="Y17" s="217"/>
      <c r="Z17" s="138">
        <f t="shared" si="3"/>
        <v>13500</v>
      </c>
      <c r="AA17" s="150">
        <f t="shared" si="0"/>
        <v>2.7</v>
      </c>
      <c r="AB17" s="138">
        <f t="shared" si="4"/>
        <v>13500</v>
      </c>
      <c r="AC17" s="150">
        <f t="shared" si="5"/>
        <v>2.7</v>
      </c>
      <c r="AD17" s="138">
        <f t="shared" si="6"/>
        <v>13500</v>
      </c>
      <c r="AE17" s="151">
        <f t="shared" si="7"/>
        <v>2.7</v>
      </c>
      <c r="AF17" s="139">
        <f t="shared" si="8"/>
        <v>84375</v>
      </c>
      <c r="AG17" s="152">
        <f t="shared" si="9"/>
        <v>2.7</v>
      </c>
      <c r="AH17" s="138">
        <f t="shared" si="10"/>
        <v>13500</v>
      </c>
      <c r="AI17" s="153">
        <f t="shared" si="11"/>
        <v>2.7</v>
      </c>
      <c r="AJ17" s="154"/>
      <c r="AK17" s="239"/>
    </row>
    <row r="18" spans="1:37" ht="41.4" customHeight="1" thickBot="1" x14ac:dyDescent="0.35">
      <c r="A18" s="140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1"/>
        <v>6.17</v>
      </c>
      <c r="P18" s="135">
        <f t="shared" si="2"/>
        <v>212.25762183235867</v>
      </c>
      <c r="Q18" s="148"/>
      <c r="R18" s="149"/>
      <c r="S18" s="136">
        <v>5000</v>
      </c>
      <c r="T18" s="142"/>
      <c r="U18" s="137"/>
      <c r="V18" s="145"/>
      <c r="W18" s="217"/>
      <c r="X18" s="145"/>
      <c r="Y18" s="217"/>
      <c r="Z18" s="138">
        <f t="shared" si="3"/>
        <v>11500</v>
      </c>
      <c r="AA18" s="150">
        <f t="shared" si="0"/>
        <v>2.2999999999999998</v>
      </c>
      <c r="AB18" s="138">
        <f t="shared" si="4"/>
        <v>11500</v>
      </c>
      <c r="AC18" s="150">
        <f t="shared" si="5"/>
        <v>2.2999999999999998</v>
      </c>
      <c r="AD18" s="138">
        <f t="shared" si="6"/>
        <v>11500</v>
      </c>
      <c r="AE18" s="151">
        <f t="shared" si="7"/>
        <v>2.2999999999999998</v>
      </c>
      <c r="AF18" s="139">
        <f t="shared" si="8"/>
        <v>71875</v>
      </c>
      <c r="AG18" s="152">
        <f t="shared" si="9"/>
        <v>2.2999999999999998</v>
      </c>
      <c r="AH18" s="138">
        <f t="shared" si="10"/>
        <v>11500</v>
      </c>
      <c r="AI18" s="153">
        <f t="shared" si="11"/>
        <v>2.2999999999999998</v>
      </c>
      <c r="AJ18" s="154"/>
      <c r="AK18" s="239"/>
    </row>
    <row r="19" spans="1:37" ht="41.4" customHeight="1" x14ac:dyDescent="0.3">
      <c r="A19" s="263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1"/>
        <v>5.57</v>
      </c>
      <c r="P19" s="135">
        <f t="shared" si="2"/>
        <v>159.6213986013986</v>
      </c>
      <c r="Q19" s="148"/>
      <c r="R19" s="149"/>
      <c r="S19" s="136">
        <v>5000</v>
      </c>
      <c r="T19" s="142"/>
      <c r="U19" s="137"/>
      <c r="V19" s="145"/>
      <c r="W19" s="217"/>
      <c r="X19" s="145"/>
      <c r="Y19" s="217"/>
      <c r="Z19" s="138">
        <f t="shared" si="3"/>
        <v>10000</v>
      </c>
      <c r="AA19" s="150">
        <f t="shared" si="0"/>
        <v>2</v>
      </c>
      <c r="AB19" s="138">
        <f t="shared" si="4"/>
        <v>10000</v>
      </c>
      <c r="AC19" s="150">
        <f t="shared" si="5"/>
        <v>2</v>
      </c>
      <c r="AD19" s="138">
        <f t="shared" si="6"/>
        <v>10000</v>
      </c>
      <c r="AE19" s="151">
        <f t="shared" si="7"/>
        <v>2</v>
      </c>
      <c r="AF19" s="139">
        <f t="shared" si="8"/>
        <v>62500</v>
      </c>
      <c r="AG19" s="152">
        <f t="shared" si="9"/>
        <v>2</v>
      </c>
      <c r="AH19" s="138">
        <f t="shared" si="10"/>
        <v>10000</v>
      </c>
      <c r="AI19" s="153">
        <f t="shared" si="11"/>
        <v>2</v>
      </c>
      <c r="AJ19" s="154"/>
      <c r="AK19" s="239"/>
    </row>
    <row r="20" spans="1:37" ht="41.4" customHeight="1" thickBot="1" x14ac:dyDescent="0.35">
      <c r="A20" s="140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44"/>
      <c r="G20" s="162"/>
      <c r="H20" s="162"/>
      <c r="I20" s="162"/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1"/>
        <v>6.9700000000000006</v>
      </c>
      <c r="P20" s="135">
        <f t="shared" si="2"/>
        <v>660.22281105990794</v>
      </c>
      <c r="Q20" s="148"/>
      <c r="R20" s="149"/>
      <c r="S20" s="136">
        <v>5000</v>
      </c>
      <c r="T20" s="142"/>
      <c r="U20" s="165"/>
      <c r="V20" s="148"/>
      <c r="W20" s="165"/>
      <c r="X20" s="148"/>
      <c r="Y20" s="182"/>
      <c r="Z20" s="138">
        <f t="shared" si="3"/>
        <v>13500</v>
      </c>
      <c r="AA20" s="150">
        <f t="shared" si="0"/>
        <v>2.7</v>
      </c>
      <c r="AB20" s="138">
        <f t="shared" si="4"/>
        <v>13500</v>
      </c>
      <c r="AC20" s="150">
        <f t="shared" si="5"/>
        <v>2.7</v>
      </c>
      <c r="AD20" s="138">
        <f t="shared" si="6"/>
        <v>13500</v>
      </c>
      <c r="AE20" s="151">
        <f t="shared" si="7"/>
        <v>2.7</v>
      </c>
      <c r="AF20" s="139">
        <f t="shared" si="8"/>
        <v>84375</v>
      </c>
      <c r="AG20" s="152">
        <f t="shared" si="9"/>
        <v>2.7</v>
      </c>
      <c r="AH20" s="138">
        <f t="shared" si="10"/>
        <v>13500</v>
      </c>
      <c r="AI20" s="153">
        <f t="shared" si="11"/>
        <v>2.7</v>
      </c>
      <c r="AJ20" s="154"/>
      <c r="AK20" s="239"/>
    </row>
    <row r="21" spans="1:37" ht="41.4" customHeight="1" x14ac:dyDescent="0.3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1"/>
        <v>4.97</v>
      </c>
      <c r="P21" s="135">
        <f t="shared" si="2"/>
        <v>170.97575048732941</v>
      </c>
      <c r="Q21" s="148"/>
      <c r="R21" s="149"/>
      <c r="S21" s="136">
        <v>5000</v>
      </c>
      <c r="T21" s="142"/>
      <c r="U21" s="165"/>
      <c r="V21" s="148"/>
      <c r="W21" s="165"/>
      <c r="X21" s="148"/>
      <c r="Y21" s="182"/>
      <c r="Z21" s="138">
        <f t="shared" si="3"/>
        <v>8500</v>
      </c>
      <c r="AA21" s="150">
        <f t="shared" si="0"/>
        <v>1.7</v>
      </c>
      <c r="AB21" s="138">
        <f t="shared" si="4"/>
        <v>8500</v>
      </c>
      <c r="AC21" s="150">
        <f t="shared" si="5"/>
        <v>1.7</v>
      </c>
      <c r="AD21" s="138">
        <f t="shared" si="6"/>
        <v>8500</v>
      </c>
      <c r="AE21" s="151">
        <f t="shared" si="7"/>
        <v>1.7</v>
      </c>
      <c r="AF21" s="139">
        <f t="shared" si="8"/>
        <v>53125</v>
      </c>
      <c r="AG21" s="152">
        <f t="shared" si="9"/>
        <v>1.7</v>
      </c>
      <c r="AH21" s="138">
        <f t="shared" si="10"/>
        <v>8500</v>
      </c>
      <c r="AI21" s="153">
        <f t="shared" si="11"/>
        <v>1.7</v>
      </c>
      <c r="AJ21" s="154"/>
      <c r="AK21" s="239"/>
    </row>
    <row r="22" spans="1:37" ht="41.4" customHeight="1" thickBot="1" x14ac:dyDescent="0.35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1"/>
        <v>5.57</v>
      </c>
      <c r="P22" s="135">
        <f t="shared" si="2"/>
        <v>191.61668615984405</v>
      </c>
      <c r="Q22" s="148"/>
      <c r="R22" s="149"/>
      <c r="S22" s="136">
        <v>5000</v>
      </c>
      <c r="T22" s="142"/>
      <c r="U22" s="165"/>
      <c r="V22" s="148"/>
      <c r="W22" s="165"/>
      <c r="X22" s="148"/>
      <c r="Y22" s="182"/>
      <c r="Z22" s="138">
        <f t="shared" si="3"/>
        <v>10000</v>
      </c>
      <c r="AA22" s="150">
        <f t="shared" si="0"/>
        <v>2</v>
      </c>
      <c r="AB22" s="138">
        <f t="shared" si="4"/>
        <v>10000</v>
      </c>
      <c r="AC22" s="150">
        <f t="shared" si="5"/>
        <v>2</v>
      </c>
      <c r="AD22" s="138">
        <f t="shared" si="6"/>
        <v>10000</v>
      </c>
      <c r="AE22" s="151">
        <f t="shared" si="7"/>
        <v>2</v>
      </c>
      <c r="AF22" s="139">
        <f t="shared" si="8"/>
        <v>62500</v>
      </c>
      <c r="AG22" s="152">
        <f t="shared" si="9"/>
        <v>2</v>
      </c>
      <c r="AH22" s="138">
        <f t="shared" si="10"/>
        <v>10000</v>
      </c>
      <c r="AI22" s="153">
        <f t="shared" si="11"/>
        <v>2</v>
      </c>
      <c r="AJ22" s="154"/>
      <c r="AK22" s="239"/>
    </row>
    <row r="23" spans="1:37" ht="41.4" customHeight="1" x14ac:dyDescent="0.3">
      <c r="A23" s="263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1"/>
        <v>5.57</v>
      </c>
      <c r="P23" s="135">
        <f t="shared" si="2"/>
        <v>159.6213986013986</v>
      </c>
      <c r="Q23" s="148"/>
      <c r="R23" s="149"/>
      <c r="S23" s="136">
        <v>5000</v>
      </c>
      <c r="T23" s="142"/>
      <c r="U23" s="165"/>
      <c r="V23" s="148"/>
      <c r="W23" s="165"/>
      <c r="X23" s="148"/>
      <c r="Y23" s="182"/>
      <c r="Z23" s="138">
        <f t="shared" si="3"/>
        <v>10000</v>
      </c>
      <c r="AA23" s="150">
        <f t="shared" si="0"/>
        <v>2</v>
      </c>
      <c r="AB23" s="138">
        <f t="shared" si="4"/>
        <v>10000</v>
      </c>
      <c r="AC23" s="150">
        <f t="shared" si="5"/>
        <v>2</v>
      </c>
      <c r="AD23" s="138">
        <f t="shared" si="6"/>
        <v>10000</v>
      </c>
      <c r="AE23" s="151">
        <f t="shared" si="7"/>
        <v>2</v>
      </c>
      <c r="AF23" s="139">
        <f t="shared" si="8"/>
        <v>62500</v>
      </c>
      <c r="AG23" s="152">
        <f t="shared" si="9"/>
        <v>2</v>
      </c>
      <c r="AH23" s="138">
        <f t="shared" si="10"/>
        <v>10000</v>
      </c>
      <c r="AI23" s="153">
        <f t="shared" si="11"/>
        <v>2</v>
      </c>
      <c r="AJ23" s="154"/>
      <c r="AK23" s="239"/>
    </row>
    <row r="24" spans="1:37" ht="41.4" customHeight="1" thickBot="1" x14ac:dyDescent="0.35">
      <c r="A24" s="140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1"/>
        <v>5.57</v>
      </c>
      <c r="P24" s="135">
        <f t="shared" si="2"/>
        <v>159.6213986013986</v>
      </c>
      <c r="Q24" s="148"/>
      <c r="R24" s="149"/>
      <c r="S24" s="136">
        <v>5000</v>
      </c>
      <c r="T24" s="142"/>
      <c r="U24" s="165"/>
      <c r="V24" s="148"/>
      <c r="W24" s="165"/>
      <c r="X24" s="148"/>
      <c r="Y24" s="182"/>
      <c r="Z24" s="138">
        <f t="shared" si="3"/>
        <v>10000</v>
      </c>
      <c r="AA24" s="150">
        <f t="shared" si="0"/>
        <v>2</v>
      </c>
      <c r="AB24" s="138">
        <f t="shared" si="4"/>
        <v>10000</v>
      </c>
      <c r="AC24" s="150">
        <f t="shared" si="5"/>
        <v>2</v>
      </c>
      <c r="AD24" s="138">
        <f t="shared" si="6"/>
        <v>10000</v>
      </c>
      <c r="AE24" s="151">
        <f t="shared" si="7"/>
        <v>2</v>
      </c>
      <c r="AF24" s="139">
        <f t="shared" si="8"/>
        <v>62500</v>
      </c>
      <c r="AG24" s="152">
        <f t="shared" si="9"/>
        <v>2</v>
      </c>
      <c r="AH24" s="138">
        <f t="shared" si="10"/>
        <v>10000</v>
      </c>
      <c r="AI24" s="153">
        <f t="shared" si="11"/>
        <v>2</v>
      </c>
      <c r="AJ24" s="154"/>
      <c r="AK24" s="239"/>
    </row>
    <row r="25" spans="1:37" ht="41.4" customHeight="1" x14ac:dyDescent="0.3">
      <c r="A25" s="263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1"/>
        <v>6.9700000000000006</v>
      </c>
      <c r="P25" s="135">
        <f t="shared" si="2"/>
        <v>199.74167832167834</v>
      </c>
      <c r="Q25" s="148"/>
      <c r="R25" s="149"/>
      <c r="S25" s="136">
        <v>5000</v>
      </c>
      <c r="T25" s="142"/>
      <c r="U25" s="165"/>
      <c r="V25" s="148"/>
      <c r="W25" s="165"/>
      <c r="X25" s="148"/>
      <c r="Y25" s="182"/>
      <c r="Z25" s="138">
        <f t="shared" si="3"/>
        <v>13500</v>
      </c>
      <c r="AA25" s="150">
        <f t="shared" si="0"/>
        <v>2.7</v>
      </c>
      <c r="AB25" s="138">
        <f t="shared" si="4"/>
        <v>13500</v>
      </c>
      <c r="AC25" s="150">
        <f t="shared" si="5"/>
        <v>2.7</v>
      </c>
      <c r="AD25" s="138">
        <f t="shared" si="6"/>
        <v>13500</v>
      </c>
      <c r="AE25" s="151">
        <f t="shared" si="7"/>
        <v>2.7</v>
      </c>
      <c r="AF25" s="139">
        <f t="shared" si="8"/>
        <v>84375</v>
      </c>
      <c r="AG25" s="152">
        <f t="shared" si="9"/>
        <v>2.7</v>
      </c>
      <c r="AH25" s="138">
        <f t="shared" si="10"/>
        <v>13500</v>
      </c>
      <c r="AI25" s="153">
        <f t="shared" si="11"/>
        <v>2.7</v>
      </c>
      <c r="AJ25" s="154"/>
      <c r="AK25" s="239"/>
    </row>
    <row r="26" spans="1:37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172"/>
      <c r="Q26" s="173"/>
      <c r="R26" s="174"/>
      <c r="S26" s="175"/>
      <c r="T26" s="168"/>
      <c r="U26" s="168"/>
      <c r="V26" s="169"/>
      <c r="W26" s="168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71"/>
      <c r="AJ26" s="176"/>
      <c r="AK26" s="240"/>
    </row>
    <row r="27" spans="1:37" ht="41.4" customHeight="1" x14ac:dyDescent="0.3">
      <c r="A27" s="155">
        <v>2</v>
      </c>
      <c r="B27" s="141" t="s">
        <v>35</v>
      </c>
      <c r="C27" s="142" t="s">
        <v>43</v>
      </c>
      <c r="D27" s="142" t="s">
        <v>120</v>
      </c>
      <c r="E27" s="177" t="s">
        <v>129</v>
      </c>
      <c r="F27" s="178">
        <v>126.799249</v>
      </c>
      <c r="G27" s="178">
        <v>-8.5845210000000005</v>
      </c>
      <c r="H27" s="178">
        <v>126.84336500000001</v>
      </c>
      <c r="I27" s="178">
        <v>-8.5632079999999995</v>
      </c>
      <c r="J27" s="145">
        <v>8</v>
      </c>
      <c r="K27" s="179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48" si="12">(J27*2)+$O$2</f>
        <v>17.57</v>
      </c>
      <c r="P27" s="135">
        <f t="shared" ref="P27:P48" si="13">(M27/N27)*O27</f>
        <v>1978.6722306525041</v>
      </c>
      <c r="Q27" s="180">
        <f>(P27*R27)/S27</f>
        <v>0.19187124660872767</v>
      </c>
      <c r="R27" s="149">
        <v>20</v>
      </c>
      <c r="S27" s="149">
        <v>206250</v>
      </c>
      <c r="T27" s="142"/>
      <c r="U27" s="181">
        <v>1</v>
      </c>
      <c r="V27" s="148"/>
      <c r="W27" s="182"/>
      <c r="X27" s="145"/>
      <c r="Y27" s="182"/>
      <c r="Z27" s="183">
        <f>S27*AA27</f>
        <v>556875</v>
      </c>
      <c r="AA27" s="184">
        <v>2.7</v>
      </c>
      <c r="AB27" s="185">
        <f t="shared" ref="AB27:AB36" si="14">S27*AC27</f>
        <v>556875</v>
      </c>
      <c r="AC27" s="186">
        <f>AA27</f>
        <v>2.7</v>
      </c>
      <c r="AD27" s="183">
        <f>S27*AE27</f>
        <v>556875</v>
      </c>
      <c r="AE27" s="187">
        <f>AC27</f>
        <v>2.7</v>
      </c>
      <c r="AF27" s="188">
        <f>5000*AG27</f>
        <v>40000</v>
      </c>
      <c r="AG27" s="151">
        <v>8</v>
      </c>
      <c r="AH27" s="189">
        <f t="shared" ref="AH27:AH40" si="15">5000*AI27</f>
        <v>40000</v>
      </c>
      <c r="AI27" s="153">
        <v>8</v>
      </c>
      <c r="AJ27" s="154"/>
      <c r="AK27" s="239"/>
    </row>
    <row r="28" spans="1:37" ht="41.4" customHeight="1" x14ac:dyDescent="0.3">
      <c r="A28" s="155">
        <v>4</v>
      </c>
      <c r="B28" s="160" t="s">
        <v>92</v>
      </c>
      <c r="C28" s="142" t="s">
        <v>44</v>
      </c>
      <c r="D28" s="142" t="s">
        <v>122</v>
      </c>
      <c r="E28" s="161" t="s">
        <v>118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145">
        <v>7.9</v>
      </c>
      <c r="K28" s="191" t="s">
        <v>145</v>
      </c>
      <c r="L28" s="156" t="s">
        <v>8</v>
      </c>
      <c r="M28" s="145">
        <f>1603+1728</f>
        <v>3331</v>
      </c>
      <c r="N28" s="192">
        <f>45.26+38.23</f>
        <v>83.49</v>
      </c>
      <c r="O28" s="165">
        <f t="shared" si="12"/>
        <v>17.37</v>
      </c>
      <c r="P28" s="135">
        <f t="shared" si="13"/>
        <v>693.01077973409997</v>
      </c>
      <c r="Q28" s="180">
        <f t="shared" ref="Q28:Q48" si="16">(P28*R28)/S28</f>
        <v>6.0480940776794175E-2</v>
      </c>
      <c r="R28" s="149">
        <v>18</v>
      </c>
      <c r="S28" s="149">
        <v>206250</v>
      </c>
      <c r="T28" s="142"/>
      <c r="U28" s="181">
        <v>2</v>
      </c>
      <c r="V28" s="148"/>
      <c r="W28" s="182"/>
      <c r="X28" s="145"/>
      <c r="Y28" s="182"/>
      <c r="Z28" s="183">
        <f>S28*AA28</f>
        <v>542437.5</v>
      </c>
      <c r="AA28" s="184">
        <v>2.63</v>
      </c>
      <c r="AB28" s="185">
        <f t="shared" si="14"/>
        <v>542437.5</v>
      </c>
      <c r="AC28" s="186">
        <f>AA28</f>
        <v>2.63</v>
      </c>
      <c r="AD28" s="183">
        <f>S28*AE28</f>
        <v>542437.5</v>
      </c>
      <c r="AE28" s="187">
        <f>AC28</f>
        <v>2.63</v>
      </c>
      <c r="AF28" s="188">
        <f>5000*AG28</f>
        <v>39500</v>
      </c>
      <c r="AG28" s="151">
        <f>7.9</f>
        <v>7.9</v>
      </c>
      <c r="AH28" s="189">
        <f t="shared" si="15"/>
        <v>39500</v>
      </c>
      <c r="AI28" s="153">
        <v>7.9</v>
      </c>
      <c r="AJ28" s="154"/>
      <c r="AK28" s="239"/>
    </row>
    <row r="29" spans="1:37" ht="41.4" customHeight="1" x14ac:dyDescent="0.3">
      <c r="A29" s="155">
        <v>3</v>
      </c>
      <c r="B29" s="160" t="s">
        <v>86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145">
        <v>4.75</v>
      </c>
      <c r="K29" s="179" t="s">
        <v>23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12"/>
        <v>11.07</v>
      </c>
      <c r="P29" s="135">
        <f t="shared" si="13"/>
        <v>1042.774054054054</v>
      </c>
      <c r="Q29" s="180">
        <f t="shared" si="16"/>
        <v>0.10111748402948403</v>
      </c>
      <c r="R29" s="149">
        <v>20</v>
      </c>
      <c r="S29" s="149">
        <v>206250</v>
      </c>
      <c r="T29" s="142"/>
      <c r="U29" s="181">
        <v>3</v>
      </c>
      <c r="V29" s="148"/>
      <c r="W29" s="182"/>
      <c r="X29" s="145"/>
      <c r="Y29" s="182"/>
      <c r="Z29" s="183">
        <f>S29*AA29</f>
        <v>495000</v>
      </c>
      <c r="AA29" s="184">
        <v>2.4</v>
      </c>
      <c r="AB29" s="185">
        <f t="shared" si="14"/>
        <v>495000</v>
      </c>
      <c r="AC29" s="186">
        <f>AA29</f>
        <v>2.4</v>
      </c>
      <c r="AD29" s="188">
        <f>5000*AE29</f>
        <v>23750</v>
      </c>
      <c r="AE29" s="151">
        <v>4.75</v>
      </c>
      <c r="AF29" s="188">
        <f>5000*AG29</f>
        <v>24000</v>
      </c>
      <c r="AG29" s="151">
        <v>4.8</v>
      </c>
      <c r="AH29" s="189">
        <f t="shared" si="15"/>
        <v>24000</v>
      </c>
      <c r="AI29" s="153">
        <v>4.8</v>
      </c>
      <c r="AJ29" s="154"/>
      <c r="AK29" s="239"/>
    </row>
    <row r="30" spans="1:37" ht="41.4" customHeight="1" x14ac:dyDescent="0.3">
      <c r="A30" s="155">
        <v>12</v>
      </c>
      <c r="B30" s="160" t="s">
        <v>42</v>
      </c>
      <c r="C30" s="142" t="s">
        <v>45</v>
      </c>
      <c r="D30" s="142" t="s">
        <v>127</v>
      </c>
      <c r="E30" s="179" t="s">
        <v>106</v>
      </c>
      <c r="F30" s="190">
        <v>127.01532400000001</v>
      </c>
      <c r="G30" s="190">
        <v>-8.4430669999999992</v>
      </c>
      <c r="H30" s="190">
        <v>127.03996600000001</v>
      </c>
      <c r="I30" s="190">
        <v>-8.4615939999999998</v>
      </c>
      <c r="J30" s="145">
        <v>4.2</v>
      </c>
      <c r="K30" s="179" t="s">
        <v>23</v>
      </c>
      <c r="L30" s="156" t="s">
        <v>8</v>
      </c>
      <c r="M30" s="145">
        <v>3754</v>
      </c>
      <c r="N30" s="145">
        <v>99.33</v>
      </c>
      <c r="O30" s="165">
        <f t="shared" si="12"/>
        <v>9.9700000000000006</v>
      </c>
      <c r="P30" s="135">
        <f t="shared" si="13"/>
        <v>376.79834893788387</v>
      </c>
      <c r="Q30" s="180">
        <f t="shared" si="16"/>
        <v>4.8230188664049135E-2</v>
      </c>
      <c r="R30" s="149">
        <v>20</v>
      </c>
      <c r="S30" s="149">
        <v>156250</v>
      </c>
      <c r="T30" s="142"/>
      <c r="U30" s="181">
        <v>4</v>
      </c>
      <c r="V30" s="148"/>
      <c r="W30" s="165"/>
      <c r="X30" s="148"/>
      <c r="Y30" s="165"/>
      <c r="Z30" s="183">
        <f>S30*AA30</f>
        <v>328125</v>
      </c>
      <c r="AA30" s="184">
        <v>2.1</v>
      </c>
      <c r="AB30" s="185">
        <f t="shared" si="14"/>
        <v>328125</v>
      </c>
      <c r="AC30" s="186">
        <f>AA30</f>
        <v>2.1</v>
      </c>
      <c r="AD30" s="188">
        <f>5000*AE30</f>
        <v>21000</v>
      </c>
      <c r="AE30" s="151">
        <v>4.2</v>
      </c>
      <c r="AF30" s="188">
        <f>5000*AG30</f>
        <v>21000</v>
      </c>
      <c r="AG30" s="151">
        <v>4.2</v>
      </c>
      <c r="AH30" s="189">
        <f t="shared" si="15"/>
        <v>21000</v>
      </c>
      <c r="AI30" s="153">
        <v>4.2</v>
      </c>
      <c r="AJ30" s="154"/>
      <c r="AK30" s="239"/>
    </row>
    <row r="31" spans="1:37" ht="41.4" customHeight="1" x14ac:dyDescent="0.3">
      <c r="A31" s="155">
        <v>15</v>
      </c>
      <c r="B31" s="160" t="s">
        <v>42</v>
      </c>
      <c r="C31" s="142" t="s">
        <v>46</v>
      </c>
      <c r="D31" s="142" t="s">
        <v>125</v>
      </c>
      <c r="E31" s="179" t="s">
        <v>103</v>
      </c>
      <c r="F31" s="190">
        <v>126.85367100000001</v>
      </c>
      <c r="G31" s="190">
        <v>-8.7392339999999997</v>
      </c>
      <c r="H31" s="190">
        <v>126.860315</v>
      </c>
      <c r="I31" s="190">
        <v>-8.7382530000000003</v>
      </c>
      <c r="J31" s="145">
        <v>8.5</v>
      </c>
      <c r="K31" s="179" t="s">
        <v>84</v>
      </c>
      <c r="L31" s="156" t="s">
        <v>8</v>
      </c>
      <c r="M31" s="145">
        <v>2707</v>
      </c>
      <c r="N31" s="145">
        <v>52.84</v>
      </c>
      <c r="O31" s="165">
        <f t="shared" si="12"/>
        <v>18.57</v>
      </c>
      <c r="P31" s="135">
        <f t="shared" si="13"/>
        <v>951.34348978046933</v>
      </c>
      <c r="Q31" s="180">
        <f t="shared" si="16"/>
        <v>6.9188617438579583E-2</v>
      </c>
      <c r="R31" s="149">
        <v>15</v>
      </c>
      <c r="S31" s="149">
        <v>206250</v>
      </c>
      <c r="T31" s="142"/>
      <c r="U31" s="181">
        <v>5</v>
      </c>
      <c r="V31" s="148"/>
      <c r="W31" s="165"/>
      <c r="X31" s="148"/>
      <c r="Y31" s="165"/>
      <c r="Z31" s="183">
        <f>S31*AA31</f>
        <v>577500</v>
      </c>
      <c r="AA31" s="184">
        <v>2.8</v>
      </c>
      <c r="AB31" s="185">
        <f t="shared" si="14"/>
        <v>577500</v>
      </c>
      <c r="AC31" s="186">
        <f>AA31</f>
        <v>2.8</v>
      </c>
      <c r="AD31" s="183">
        <f>S31*AE31</f>
        <v>577500</v>
      </c>
      <c r="AE31" s="187">
        <f>AC31</f>
        <v>2.8</v>
      </c>
      <c r="AF31" s="188">
        <f>5000*AG31</f>
        <v>42500</v>
      </c>
      <c r="AG31" s="151">
        <v>8.5</v>
      </c>
      <c r="AH31" s="189">
        <f t="shared" si="15"/>
        <v>42500</v>
      </c>
      <c r="AI31" s="153">
        <v>8.5</v>
      </c>
      <c r="AJ31" s="154"/>
      <c r="AK31" s="239"/>
    </row>
    <row r="32" spans="1:37" ht="41.4" customHeight="1" x14ac:dyDescent="0.3">
      <c r="A32" s="155">
        <v>10</v>
      </c>
      <c r="B32" s="141" t="s">
        <v>42</v>
      </c>
      <c r="C32" s="142" t="s">
        <v>44</v>
      </c>
      <c r="D32" s="142" t="s">
        <v>131</v>
      </c>
      <c r="E32" s="177" t="s">
        <v>110</v>
      </c>
      <c r="F32" s="190">
        <v>126.976018</v>
      </c>
      <c r="G32" s="190">
        <v>-8.3452190000000002</v>
      </c>
      <c r="H32" s="190">
        <v>127.022965</v>
      </c>
      <c r="I32" s="190">
        <v>-8.3686530000000001</v>
      </c>
      <c r="J32" s="145">
        <v>7.5</v>
      </c>
      <c r="K32" s="179" t="s">
        <v>146</v>
      </c>
      <c r="L32" s="156" t="s">
        <v>8</v>
      </c>
      <c r="M32" s="145">
        <f>3709+3345</f>
        <v>7054</v>
      </c>
      <c r="N32" s="145">
        <f>59.77+82.14</f>
        <v>141.91</v>
      </c>
      <c r="O32" s="165">
        <f t="shared" si="12"/>
        <v>16.57</v>
      </c>
      <c r="P32" s="135">
        <f t="shared" si="13"/>
        <v>823.6542879289691</v>
      </c>
      <c r="Q32" s="180">
        <f t="shared" si="16"/>
        <v>4.4926597523398309E-2</v>
      </c>
      <c r="R32" s="149">
        <v>15</v>
      </c>
      <c r="S32" s="149">
        <v>275000</v>
      </c>
      <c r="T32" s="142"/>
      <c r="U32" s="181">
        <v>6</v>
      </c>
      <c r="V32" s="148"/>
      <c r="W32" s="165"/>
      <c r="X32" s="148"/>
      <c r="Y32" s="165"/>
      <c r="Z32" s="148"/>
      <c r="AA32" s="165"/>
      <c r="AB32" s="187">
        <f t="shared" si="14"/>
        <v>687500</v>
      </c>
      <c r="AC32" s="184">
        <v>2.5</v>
      </c>
      <c r="AD32" s="183">
        <f>S32*AE32</f>
        <v>687500</v>
      </c>
      <c r="AE32" s="187">
        <f>AC32</f>
        <v>2.5</v>
      </c>
      <c r="AF32" s="183">
        <f>S32*AG32</f>
        <v>687500</v>
      </c>
      <c r="AG32" s="187">
        <f>AE32</f>
        <v>2.5</v>
      </c>
      <c r="AH32" s="189">
        <f t="shared" si="15"/>
        <v>37500</v>
      </c>
      <c r="AI32" s="193">
        <v>7.5</v>
      </c>
      <c r="AJ32" s="154"/>
      <c r="AK32" s="239"/>
    </row>
    <row r="33" spans="1:37" ht="41.4" customHeight="1" x14ac:dyDescent="0.3">
      <c r="A33" s="155">
        <v>22</v>
      </c>
      <c r="B33" s="160" t="s">
        <v>42</v>
      </c>
      <c r="C33" s="194" t="s">
        <v>95</v>
      </c>
      <c r="D33" s="194" t="s">
        <v>141</v>
      </c>
      <c r="E33" s="194" t="s">
        <v>140</v>
      </c>
      <c r="F33" s="190">
        <v>127.00926</v>
      </c>
      <c r="G33" s="190">
        <v>-8.6153080000000006</v>
      </c>
      <c r="H33" s="190">
        <v>127.007327</v>
      </c>
      <c r="I33" s="190">
        <v>-8.6199340000000007</v>
      </c>
      <c r="J33" s="181">
        <v>3</v>
      </c>
      <c r="K33" s="194" t="s">
        <v>23</v>
      </c>
      <c r="L33" s="195" t="s">
        <v>8</v>
      </c>
      <c r="M33" s="145">
        <f>3708+1655</f>
        <v>5363</v>
      </c>
      <c r="N33" s="145">
        <f>133.77+23.89</f>
        <v>157.66000000000003</v>
      </c>
      <c r="O33" s="165">
        <f t="shared" si="12"/>
        <v>7.57</v>
      </c>
      <c r="P33" s="135">
        <f t="shared" si="13"/>
        <v>257.50291767093745</v>
      </c>
      <c r="Q33" s="180">
        <f t="shared" si="16"/>
        <v>2.496997989536363E-2</v>
      </c>
      <c r="R33" s="165">
        <v>20</v>
      </c>
      <c r="S33" s="196">
        <v>206250</v>
      </c>
      <c r="T33" s="142"/>
      <c r="U33" s="181">
        <v>7</v>
      </c>
      <c r="V33" s="165"/>
      <c r="W33" s="165"/>
      <c r="X33" s="165"/>
      <c r="Y33" s="165"/>
      <c r="Z33" s="165"/>
      <c r="AA33" s="165"/>
      <c r="AB33" s="187">
        <f t="shared" si="14"/>
        <v>618750</v>
      </c>
      <c r="AC33" s="184">
        <f>J33</f>
        <v>3</v>
      </c>
      <c r="AD33" s="188">
        <f>5000*AE33</f>
        <v>15000</v>
      </c>
      <c r="AE33" s="151">
        <v>3</v>
      </c>
      <c r="AF33" s="188">
        <f>5000*AG33</f>
        <v>15000</v>
      </c>
      <c r="AG33" s="153">
        <v>3</v>
      </c>
      <c r="AH33" s="189">
        <f t="shared" si="15"/>
        <v>15000</v>
      </c>
      <c r="AI33" s="197">
        <v>3</v>
      </c>
      <c r="AJ33" s="154"/>
      <c r="AK33" s="239"/>
    </row>
    <row r="34" spans="1:37" ht="41.4" customHeight="1" x14ac:dyDescent="0.3">
      <c r="A34" s="155">
        <v>14</v>
      </c>
      <c r="B34" s="160" t="s">
        <v>90</v>
      </c>
      <c r="C34" s="142" t="s">
        <v>44</v>
      </c>
      <c r="D34" s="142" t="s">
        <v>121</v>
      </c>
      <c r="E34" s="161" t="s">
        <v>115</v>
      </c>
      <c r="F34" s="190">
        <v>126.93129999999999</v>
      </c>
      <c r="G34" s="190">
        <v>-8.3599370000000004</v>
      </c>
      <c r="H34" s="190">
        <v>126.976018</v>
      </c>
      <c r="I34" s="190">
        <v>-8.3452190000000002</v>
      </c>
      <c r="J34" s="145">
        <v>7.9</v>
      </c>
      <c r="K34" s="143" t="s">
        <v>24</v>
      </c>
      <c r="L34" s="156" t="s">
        <v>8</v>
      </c>
      <c r="M34" s="145">
        <v>3345</v>
      </c>
      <c r="N34" s="145">
        <v>82.14</v>
      </c>
      <c r="O34" s="165">
        <f t="shared" si="12"/>
        <v>17.37</v>
      </c>
      <c r="P34" s="135">
        <f t="shared" si="13"/>
        <v>707.36121256391527</v>
      </c>
      <c r="Q34" s="180">
        <f t="shared" si="16"/>
        <v>3.4296301215220135E-2</v>
      </c>
      <c r="R34" s="149">
        <v>10</v>
      </c>
      <c r="S34" s="149">
        <v>206250</v>
      </c>
      <c r="T34" s="142"/>
      <c r="U34" s="181">
        <v>8</v>
      </c>
      <c r="V34" s="148"/>
      <c r="W34" s="165"/>
      <c r="X34" s="148"/>
      <c r="Y34" s="182"/>
      <c r="Z34" s="145"/>
      <c r="AA34" s="182"/>
      <c r="AB34" s="187">
        <f t="shared" si="14"/>
        <v>536250</v>
      </c>
      <c r="AC34" s="184">
        <v>2.6</v>
      </c>
      <c r="AD34" s="183">
        <f>S34*AE34</f>
        <v>536250</v>
      </c>
      <c r="AE34" s="187">
        <f>AC34</f>
        <v>2.6</v>
      </c>
      <c r="AF34" s="183">
        <f>S34*AG34</f>
        <v>536250</v>
      </c>
      <c r="AG34" s="198">
        <f>AE34</f>
        <v>2.6</v>
      </c>
      <c r="AH34" s="189">
        <f t="shared" si="15"/>
        <v>39500</v>
      </c>
      <c r="AI34" s="197">
        <v>7.9</v>
      </c>
      <c r="AJ34" s="154"/>
      <c r="AK34" s="239"/>
    </row>
    <row r="35" spans="1:37" ht="41.4" customHeight="1" x14ac:dyDescent="0.3">
      <c r="A35" s="155">
        <v>7</v>
      </c>
      <c r="B35" s="163" t="s">
        <v>42</v>
      </c>
      <c r="C35" s="142" t="s">
        <v>44</v>
      </c>
      <c r="D35" s="142" t="s">
        <v>126</v>
      </c>
      <c r="E35" s="179" t="s">
        <v>105</v>
      </c>
      <c r="F35" s="199">
        <v>126.882902</v>
      </c>
      <c r="G35" s="199">
        <v>-8.4679020000000005</v>
      </c>
      <c r="H35" s="199">
        <v>126.885096</v>
      </c>
      <c r="I35" s="199">
        <v>-8.4903739999999992</v>
      </c>
      <c r="J35" s="145">
        <v>3.5</v>
      </c>
      <c r="K35" s="179" t="s">
        <v>84</v>
      </c>
      <c r="L35" s="156" t="s">
        <v>8</v>
      </c>
      <c r="M35" s="145">
        <v>2515</v>
      </c>
      <c r="N35" s="145">
        <v>61.27</v>
      </c>
      <c r="O35" s="165">
        <f t="shared" si="12"/>
        <v>8.57</v>
      </c>
      <c r="P35" s="135">
        <f t="shared" si="13"/>
        <v>351.77982699526689</v>
      </c>
      <c r="Q35" s="180">
        <f t="shared" si="16"/>
        <v>2.558398741783759E-2</v>
      </c>
      <c r="R35" s="149">
        <v>15</v>
      </c>
      <c r="S35" s="149">
        <v>206250</v>
      </c>
      <c r="T35" s="142"/>
      <c r="U35" s="181">
        <v>9</v>
      </c>
      <c r="V35" s="148"/>
      <c r="W35" s="165"/>
      <c r="X35" s="148"/>
      <c r="Y35" s="182"/>
      <c r="Z35" s="145"/>
      <c r="AA35" s="182"/>
      <c r="AB35" s="187">
        <f t="shared" si="14"/>
        <v>721875</v>
      </c>
      <c r="AC35" s="184">
        <f>J35</f>
        <v>3.5</v>
      </c>
      <c r="AD35" s="188">
        <f>5000*AE35</f>
        <v>17500</v>
      </c>
      <c r="AE35" s="151">
        <v>3.5</v>
      </c>
      <c r="AF35" s="188">
        <f>5000*AG35</f>
        <v>17500</v>
      </c>
      <c r="AG35" s="153">
        <v>3.5</v>
      </c>
      <c r="AH35" s="189">
        <f t="shared" si="15"/>
        <v>17500</v>
      </c>
      <c r="AI35" s="197">
        <v>3.5</v>
      </c>
      <c r="AJ35" s="154"/>
      <c r="AK35" s="239"/>
    </row>
    <row r="36" spans="1:37" ht="41.4" customHeight="1" x14ac:dyDescent="0.3">
      <c r="A36" s="155">
        <v>9</v>
      </c>
      <c r="B36" s="160" t="s">
        <v>89</v>
      </c>
      <c r="C36" s="142" t="s">
        <v>44</v>
      </c>
      <c r="D36" s="142" t="s">
        <v>134</v>
      </c>
      <c r="E36" s="179" t="s">
        <v>114</v>
      </c>
      <c r="F36" s="199">
        <v>126.911095</v>
      </c>
      <c r="G36" s="199">
        <v>-8.4023389999999996</v>
      </c>
      <c r="H36" s="190">
        <v>126.93129999999999</v>
      </c>
      <c r="I36" s="190">
        <v>-8.3599370000000004</v>
      </c>
      <c r="J36" s="145">
        <v>5.7</v>
      </c>
      <c r="K36" s="143" t="s">
        <v>24</v>
      </c>
      <c r="L36" s="156" t="s">
        <v>8</v>
      </c>
      <c r="M36" s="145">
        <f>2124+3345</f>
        <v>5469</v>
      </c>
      <c r="N36" s="145">
        <f>20.62+82.14</f>
        <v>102.76</v>
      </c>
      <c r="O36" s="165">
        <f t="shared" si="12"/>
        <v>12.97</v>
      </c>
      <c r="P36" s="135">
        <f t="shared" si="13"/>
        <v>690.27763721292331</v>
      </c>
      <c r="Q36" s="180">
        <f t="shared" si="16"/>
        <v>3.3468006652747795E-2</v>
      </c>
      <c r="R36" s="149">
        <v>10</v>
      </c>
      <c r="S36" s="149">
        <v>206250</v>
      </c>
      <c r="T36" s="142"/>
      <c r="U36" s="181">
        <v>10</v>
      </c>
      <c r="V36" s="148"/>
      <c r="W36" s="165"/>
      <c r="X36" s="148"/>
      <c r="Y36" s="165"/>
      <c r="Z36" s="148"/>
      <c r="AA36" s="165"/>
      <c r="AB36" s="187">
        <f t="shared" si="14"/>
        <v>598125</v>
      </c>
      <c r="AC36" s="184">
        <v>2.9</v>
      </c>
      <c r="AD36" s="183">
        <f>S36*AE36</f>
        <v>598125</v>
      </c>
      <c r="AE36" s="187">
        <f>AC36</f>
        <v>2.9</v>
      </c>
      <c r="AF36" s="188">
        <f>5000*AG36</f>
        <v>28500</v>
      </c>
      <c r="AG36" s="153">
        <v>5.7</v>
      </c>
      <c r="AH36" s="189">
        <f t="shared" si="15"/>
        <v>28500</v>
      </c>
      <c r="AI36" s="197">
        <v>5.7</v>
      </c>
      <c r="AJ36" s="154"/>
      <c r="AK36" s="239"/>
    </row>
    <row r="37" spans="1:37" ht="41.4" customHeight="1" x14ac:dyDescent="0.3">
      <c r="A37" s="155">
        <v>1</v>
      </c>
      <c r="B37" s="163" t="s">
        <v>93</v>
      </c>
      <c r="C37" s="142" t="s">
        <v>45</v>
      </c>
      <c r="D37" s="142" t="s">
        <v>58</v>
      </c>
      <c r="E37" s="179" t="s">
        <v>96</v>
      </c>
      <c r="F37" s="178">
        <v>126.951606</v>
      </c>
      <c r="G37" s="178">
        <v>-8.5208480000000009</v>
      </c>
      <c r="H37" s="178">
        <v>126.952022</v>
      </c>
      <c r="I37" s="178">
        <v>-8.5286249999999999</v>
      </c>
      <c r="J37" s="145">
        <v>1</v>
      </c>
      <c r="K37" s="179" t="s">
        <v>23</v>
      </c>
      <c r="L37" s="156" t="s">
        <v>8</v>
      </c>
      <c r="M37" s="145">
        <v>4111</v>
      </c>
      <c r="N37" s="145">
        <v>43.4</v>
      </c>
      <c r="O37" s="165">
        <f t="shared" si="12"/>
        <v>3.5700000000000003</v>
      </c>
      <c r="P37" s="135">
        <f t="shared" si="13"/>
        <v>338.16290322580653</v>
      </c>
      <c r="Q37" s="180">
        <f t="shared" si="16"/>
        <v>4.3284851612903234E-2</v>
      </c>
      <c r="R37" s="149">
        <v>20</v>
      </c>
      <c r="S37" s="149">
        <v>156250</v>
      </c>
      <c r="T37" s="142"/>
      <c r="U37" s="181">
        <v>11</v>
      </c>
      <c r="V37" s="148"/>
      <c r="W37" s="165"/>
      <c r="X37" s="148"/>
      <c r="Y37" s="182"/>
      <c r="Z37" s="145"/>
      <c r="AA37" s="182"/>
      <c r="AB37" s="145"/>
      <c r="AC37" s="182"/>
      <c r="AD37" s="183">
        <f>S37*AE37</f>
        <v>156250</v>
      </c>
      <c r="AE37" s="187">
        <f>J37</f>
        <v>1</v>
      </c>
      <c r="AF37" s="188">
        <f>5000*AG37</f>
        <v>5000</v>
      </c>
      <c r="AG37" s="151">
        <v>1</v>
      </c>
      <c r="AH37" s="189">
        <f t="shared" si="15"/>
        <v>5000</v>
      </c>
      <c r="AI37" s="197">
        <v>1</v>
      </c>
      <c r="AJ37" s="154"/>
      <c r="AK37" s="239"/>
    </row>
    <row r="38" spans="1:37" ht="41.4" customHeight="1" x14ac:dyDescent="0.3">
      <c r="A38" s="155">
        <v>16</v>
      </c>
      <c r="B38" s="160" t="s">
        <v>39</v>
      </c>
      <c r="C38" s="142" t="s">
        <v>45</v>
      </c>
      <c r="D38" s="142" t="s">
        <v>57</v>
      </c>
      <c r="E38" s="161" t="s">
        <v>74</v>
      </c>
      <c r="F38" s="200">
        <v>127.06660100000001</v>
      </c>
      <c r="G38" s="200">
        <v>-8.5178139999999996</v>
      </c>
      <c r="H38" s="200">
        <v>127.08969</v>
      </c>
      <c r="I38" s="200">
        <v>-8.5144680000000008</v>
      </c>
      <c r="J38" s="145">
        <v>3</v>
      </c>
      <c r="K38" s="142" t="s">
        <v>84</v>
      </c>
      <c r="L38" s="156" t="s">
        <v>8</v>
      </c>
      <c r="M38" s="145">
        <v>2785</v>
      </c>
      <c r="N38" s="145">
        <v>76.28</v>
      </c>
      <c r="O38" s="165">
        <f t="shared" si="12"/>
        <v>7.57</v>
      </c>
      <c r="P38" s="135">
        <f t="shared" si="13"/>
        <v>276.38240692186679</v>
      </c>
      <c r="Q38" s="180">
        <f t="shared" si="16"/>
        <v>2.6532711064499209E-2</v>
      </c>
      <c r="R38" s="149">
        <v>15</v>
      </c>
      <c r="S38" s="149">
        <v>156250</v>
      </c>
      <c r="T38" s="142"/>
      <c r="U38" s="181">
        <v>12</v>
      </c>
      <c r="V38" s="148"/>
      <c r="W38" s="165"/>
      <c r="X38" s="148"/>
      <c r="Y38" s="182"/>
      <c r="Z38" s="145"/>
      <c r="AA38" s="182"/>
      <c r="AB38" s="145"/>
      <c r="AC38" s="182"/>
      <c r="AD38" s="183">
        <f>S38*AE38</f>
        <v>468750</v>
      </c>
      <c r="AE38" s="187">
        <f>J38</f>
        <v>3</v>
      </c>
      <c r="AF38" s="188">
        <f>5000*AG38</f>
        <v>15000</v>
      </c>
      <c r="AG38" s="151">
        <v>3</v>
      </c>
      <c r="AH38" s="189">
        <f t="shared" si="15"/>
        <v>15000</v>
      </c>
      <c r="AI38" s="197">
        <v>3</v>
      </c>
      <c r="AJ38" s="154"/>
      <c r="AK38" s="239"/>
    </row>
    <row r="39" spans="1:37" ht="41.4" customHeight="1" x14ac:dyDescent="0.3">
      <c r="A39" s="155">
        <v>13</v>
      </c>
      <c r="B39" s="160" t="s">
        <v>42</v>
      </c>
      <c r="C39" s="142" t="s">
        <v>46</v>
      </c>
      <c r="D39" s="142" t="s">
        <v>125</v>
      </c>
      <c r="E39" s="179" t="s">
        <v>102</v>
      </c>
      <c r="F39" s="190">
        <v>126.826892</v>
      </c>
      <c r="G39" s="190">
        <v>-8.7096719999999994</v>
      </c>
      <c r="H39" s="190">
        <v>126.833938</v>
      </c>
      <c r="I39" s="190">
        <v>-8.7219470000000001</v>
      </c>
      <c r="J39" s="145">
        <v>3</v>
      </c>
      <c r="K39" s="179" t="s">
        <v>84</v>
      </c>
      <c r="L39" s="156" t="s">
        <v>8</v>
      </c>
      <c r="M39" s="145">
        <v>2707</v>
      </c>
      <c r="N39" s="145">
        <v>52.84</v>
      </c>
      <c r="O39" s="165">
        <f t="shared" si="12"/>
        <v>7.57</v>
      </c>
      <c r="P39" s="135">
        <f t="shared" si="13"/>
        <v>387.81207418622256</v>
      </c>
      <c r="Q39" s="180">
        <f t="shared" si="16"/>
        <v>2.1153385864703049E-2</v>
      </c>
      <c r="R39" s="149">
        <v>15</v>
      </c>
      <c r="S39" s="149">
        <v>275000</v>
      </c>
      <c r="T39" s="142"/>
      <c r="U39" s="181">
        <v>13</v>
      </c>
      <c r="V39" s="148"/>
      <c r="W39" s="165"/>
      <c r="X39" s="148"/>
      <c r="Y39" s="165"/>
      <c r="Z39" s="148"/>
      <c r="AA39" s="182"/>
      <c r="AB39" s="145"/>
      <c r="AC39" s="182"/>
      <c r="AD39" s="183">
        <f>S39*AE39</f>
        <v>412500</v>
      </c>
      <c r="AE39" s="187">
        <v>1.5</v>
      </c>
      <c r="AF39" s="183">
        <f>S39*AG39</f>
        <v>412500</v>
      </c>
      <c r="AG39" s="187">
        <f>AE39</f>
        <v>1.5</v>
      </c>
      <c r="AH39" s="189">
        <f t="shared" si="15"/>
        <v>15000</v>
      </c>
      <c r="AI39" s="197">
        <v>3</v>
      </c>
      <c r="AJ39" s="154"/>
      <c r="AK39" s="239"/>
    </row>
    <row r="40" spans="1:37" ht="41.4" customHeight="1" x14ac:dyDescent="0.3">
      <c r="A40" s="155">
        <v>17</v>
      </c>
      <c r="B40" s="160" t="s">
        <v>39</v>
      </c>
      <c r="C40" s="142" t="s">
        <v>45</v>
      </c>
      <c r="D40" s="142" t="s">
        <v>57</v>
      </c>
      <c r="E40" s="161" t="s">
        <v>117</v>
      </c>
      <c r="F40" s="190">
        <v>127.08969</v>
      </c>
      <c r="G40" s="190">
        <v>-8.5144680000000008</v>
      </c>
      <c r="H40" s="190">
        <v>127.111547</v>
      </c>
      <c r="I40" s="190">
        <v>-8.4924769999999992</v>
      </c>
      <c r="J40" s="145">
        <v>3.5</v>
      </c>
      <c r="K40" s="143" t="s">
        <v>24</v>
      </c>
      <c r="L40" s="156" t="s">
        <v>8</v>
      </c>
      <c r="M40" s="145">
        <v>2785</v>
      </c>
      <c r="N40" s="145">
        <v>76.28</v>
      </c>
      <c r="O40" s="165">
        <f t="shared" si="12"/>
        <v>8.57</v>
      </c>
      <c r="P40" s="135">
        <f t="shared" si="13"/>
        <v>312.89263240692185</v>
      </c>
      <c r="Q40" s="180">
        <f t="shared" si="16"/>
        <v>2.0025128474042999E-2</v>
      </c>
      <c r="R40" s="149">
        <v>10</v>
      </c>
      <c r="S40" s="149">
        <v>156250</v>
      </c>
      <c r="T40" s="142"/>
      <c r="U40" s="181">
        <v>14</v>
      </c>
      <c r="V40" s="148"/>
      <c r="W40" s="165"/>
      <c r="X40" s="148"/>
      <c r="Y40" s="165"/>
      <c r="Z40" s="148"/>
      <c r="AA40" s="165"/>
      <c r="AB40" s="148"/>
      <c r="AC40" s="182"/>
      <c r="AD40" s="183">
        <f>S40*AE40</f>
        <v>546875</v>
      </c>
      <c r="AE40" s="187">
        <f>J40</f>
        <v>3.5</v>
      </c>
      <c r="AF40" s="188">
        <f>5000*AG40</f>
        <v>17500</v>
      </c>
      <c r="AG40" s="151">
        <v>3.5</v>
      </c>
      <c r="AH40" s="189">
        <f t="shared" si="15"/>
        <v>17500</v>
      </c>
      <c r="AI40" s="197">
        <v>3.5</v>
      </c>
      <c r="AJ40" s="154"/>
      <c r="AK40" s="239"/>
    </row>
    <row r="41" spans="1:37" ht="41.4" customHeight="1" x14ac:dyDescent="0.3">
      <c r="A41" s="155">
        <v>19</v>
      </c>
      <c r="B41" s="160" t="s">
        <v>41</v>
      </c>
      <c r="C41" s="142" t="s">
        <v>46</v>
      </c>
      <c r="D41" s="142" t="s">
        <v>133</v>
      </c>
      <c r="E41" s="161" t="s">
        <v>113</v>
      </c>
      <c r="F41" s="190">
        <v>126.828141</v>
      </c>
      <c r="G41" s="190">
        <v>-8.6896930000000001</v>
      </c>
      <c r="H41" s="199">
        <v>126.82643299999999</v>
      </c>
      <c r="I41" s="199">
        <v>-8.7008010000000002</v>
      </c>
      <c r="J41" s="145">
        <v>4</v>
      </c>
      <c r="K41" s="143" t="s">
        <v>84</v>
      </c>
      <c r="L41" s="156" t="s">
        <v>8</v>
      </c>
      <c r="M41" s="145">
        <f>2707+2049</f>
        <v>4756</v>
      </c>
      <c r="N41" s="145">
        <f>52.85+71.5</f>
        <v>124.35</v>
      </c>
      <c r="O41" s="165">
        <f t="shared" si="12"/>
        <v>9.57</v>
      </c>
      <c r="P41" s="135">
        <f t="shared" si="13"/>
        <v>366.0226779252111</v>
      </c>
      <c r="Q41" s="180">
        <f t="shared" si="16"/>
        <v>2.6619831121833536E-2</v>
      </c>
      <c r="R41" s="149">
        <v>15</v>
      </c>
      <c r="S41" s="149">
        <v>206250</v>
      </c>
      <c r="T41" s="142"/>
      <c r="U41" s="181">
        <v>15</v>
      </c>
      <c r="V41" s="148"/>
      <c r="W41" s="165"/>
      <c r="X41" s="148"/>
      <c r="Y41" s="165"/>
      <c r="Z41" s="148"/>
      <c r="AA41" s="165"/>
      <c r="AB41" s="148"/>
      <c r="AC41" s="182"/>
      <c r="AD41" s="145"/>
      <c r="AE41" s="148"/>
      <c r="AF41" s="187">
        <f>S41*AG41</f>
        <v>412500</v>
      </c>
      <c r="AG41" s="187">
        <v>2</v>
      </c>
      <c r="AH41" s="183">
        <f>S41*AI41</f>
        <v>412500</v>
      </c>
      <c r="AI41" s="198">
        <f>AG41</f>
        <v>2</v>
      </c>
      <c r="AJ41" s="154"/>
      <c r="AK41" s="239"/>
    </row>
    <row r="42" spans="1:37" ht="41.4" customHeight="1" x14ac:dyDescent="0.3">
      <c r="A42" s="155">
        <v>18</v>
      </c>
      <c r="B42" s="160" t="s">
        <v>42</v>
      </c>
      <c r="C42" s="142" t="s">
        <v>95</v>
      </c>
      <c r="D42" s="142" t="s">
        <v>128</v>
      </c>
      <c r="E42" s="161" t="s">
        <v>107</v>
      </c>
      <c r="F42" s="190">
        <v>127.010875</v>
      </c>
      <c r="G42" s="190">
        <v>-8.6117260000000009</v>
      </c>
      <c r="H42" s="190">
        <v>127.048399</v>
      </c>
      <c r="I42" s="190">
        <v>-8.6006129999999992</v>
      </c>
      <c r="J42" s="145">
        <v>5</v>
      </c>
      <c r="K42" s="179" t="s">
        <v>24</v>
      </c>
      <c r="L42" s="156" t="s">
        <v>8</v>
      </c>
      <c r="M42" s="145">
        <v>3708</v>
      </c>
      <c r="N42" s="145">
        <v>133.69999999999999</v>
      </c>
      <c r="O42" s="165">
        <f t="shared" si="12"/>
        <v>11.57</v>
      </c>
      <c r="P42" s="135">
        <f t="shared" si="13"/>
        <v>320.87928197456995</v>
      </c>
      <c r="Q42" s="180">
        <f t="shared" si="16"/>
        <v>1.5557783368463998E-2</v>
      </c>
      <c r="R42" s="149">
        <v>10</v>
      </c>
      <c r="S42" s="149">
        <v>206250</v>
      </c>
      <c r="T42" s="142"/>
      <c r="U42" s="181">
        <v>16</v>
      </c>
      <c r="V42" s="148"/>
      <c r="W42" s="165"/>
      <c r="X42" s="148"/>
      <c r="Y42" s="165"/>
      <c r="Z42" s="148"/>
      <c r="AA42" s="182"/>
      <c r="AB42" s="145"/>
      <c r="AC42" s="182"/>
      <c r="AD42" s="145"/>
      <c r="AE42" s="148"/>
      <c r="AF42" s="187">
        <f>S42*AG42</f>
        <v>515625</v>
      </c>
      <c r="AG42" s="187">
        <v>2.5</v>
      </c>
      <c r="AH42" s="183">
        <f>S42*AI42</f>
        <v>515625</v>
      </c>
      <c r="AI42" s="198">
        <f>AG42</f>
        <v>2.5</v>
      </c>
      <c r="AJ42" s="154"/>
      <c r="AK42" s="239"/>
    </row>
    <row r="43" spans="1:37" ht="41.4" customHeight="1" x14ac:dyDescent="0.3">
      <c r="A43" s="155">
        <v>11</v>
      </c>
      <c r="B43" s="160" t="s">
        <v>42</v>
      </c>
      <c r="C43" s="142" t="s">
        <v>46</v>
      </c>
      <c r="D43" s="142" t="s">
        <v>125</v>
      </c>
      <c r="E43" s="161" t="s">
        <v>108</v>
      </c>
      <c r="F43" s="199">
        <v>126.82301</v>
      </c>
      <c r="G43" s="199">
        <v>-8.7128040000000002</v>
      </c>
      <c r="H43" s="199">
        <v>126.80778599999999</v>
      </c>
      <c r="I43" s="199">
        <v>-8.7185459999999999</v>
      </c>
      <c r="J43" s="145">
        <v>2.5</v>
      </c>
      <c r="K43" s="179" t="s">
        <v>84</v>
      </c>
      <c r="L43" s="156" t="s">
        <v>8</v>
      </c>
      <c r="M43" s="145">
        <v>2707</v>
      </c>
      <c r="N43" s="145">
        <v>52.84</v>
      </c>
      <c r="O43" s="165">
        <f t="shared" si="12"/>
        <v>6.57</v>
      </c>
      <c r="P43" s="135">
        <f t="shared" si="13"/>
        <v>336.58194549583646</v>
      </c>
      <c r="Q43" s="180">
        <f t="shared" si="16"/>
        <v>1.8359015208863808E-2</v>
      </c>
      <c r="R43" s="149">
        <v>15</v>
      </c>
      <c r="S43" s="149">
        <v>275000</v>
      </c>
      <c r="T43" s="142"/>
      <c r="U43" s="181">
        <v>17</v>
      </c>
      <c r="V43" s="148"/>
      <c r="W43" s="165"/>
      <c r="X43" s="148"/>
      <c r="Y43" s="165"/>
      <c r="Z43" s="148"/>
      <c r="AA43" s="165"/>
      <c r="AB43" s="148"/>
      <c r="AC43" s="182"/>
      <c r="AD43" s="145"/>
      <c r="AE43" s="148"/>
      <c r="AF43" s="187">
        <f>S43*AG43</f>
        <v>687500</v>
      </c>
      <c r="AG43" s="187">
        <f>J43</f>
        <v>2.5</v>
      </c>
      <c r="AH43" s="188">
        <f>5000*AI43</f>
        <v>25000</v>
      </c>
      <c r="AI43" s="153">
        <v>5</v>
      </c>
      <c r="AJ43" s="154"/>
      <c r="AK43" s="239"/>
    </row>
    <row r="44" spans="1:37" ht="41.4" customHeight="1" x14ac:dyDescent="0.3">
      <c r="A44" s="155">
        <v>21</v>
      </c>
      <c r="B44" s="160" t="s">
        <v>42</v>
      </c>
      <c r="C44" s="142" t="s">
        <v>46</v>
      </c>
      <c r="D44" s="142" t="s">
        <v>125</v>
      </c>
      <c r="E44" s="179" t="s">
        <v>104</v>
      </c>
      <c r="F44" s="190">
        <v>126.83604099999999</v>
      </c>
      <c r="G44" s="190">
        <v>-8.6817060000000001</v>
      </c>
      <c r="H44" s="190">
        <v>126.859624</v>
      </c>
      <c r="I44" s="190">
        <v>-8.6872249999999998</v>
      </c>
      <c r="J44" s="145">
        <v>3.05</v>
      </c>
      <c r="K44" s="179" t="s">
        <v>84</v>
      </c>
      <c r="L44" s="156" t="s">
        <v>8</v>
      </c>
      <c r="M44" s="145">
        <v>1150</v>
      </c>
      <c r="N44" s="145">
        <v>97.5</v>
      </c>
      <c r="O44" s="165">
        <f t="shared" si="12"/>
        <v>7.67</v>
      </c>
      <c r="P44" s="135">
        <f t="shared" si="13"/>
        <v>90.466666666666669</v>
      </c>
      <c r="Q44" s="180">
        <f t="shared" si="16"/>
        <v>4.9345454545454545E-3</v>
      </c>
      <c r="R44" s="149">
        <v>15</v>
      </c>
      <c r="S44" s="149">
        <v>275000</v>
      </c>
      <c r="T44" s="142"/>
      <c r="U44" s="181">
        <v>18</v>
      </c>
      <c r="V44" s="148"/>
      <c r="W44" s="165"/>
      <c r="X44" s="148"/>
      <c r="Y44" s="182"/>
      <c r="Z44" s="145"/>
      <c r="AA44" s="182"/>
      <c r="AB44" s="145"/>
      <c r="AC44" s="182"/>
      <c r="AD44" s="145"/>
      <c r="AE44" s="148"/>
      <c r="AF44" s="187">
        <f>S44*AG44</f>
        <v>426250</v>
      </c>
      <c r="AG44" s="187">
        <v>1.55</v>
      </c>
      <c r="AH44" s="183">
        <f>S44*AI44</f>
        <v>426250</v>
      </c>
      <c r="AI44" s="198">
        <f>AG44</f>
        <v>1.55</v>
      </c>
      <c r="AJ44" s="154"/>
      <c r="AK44" s="239"/>
    </row>
    <row r="45" spans="1:37" ht="41.4" customHeight="1" x14ac:dyDescent="0.3">
      <c r="A45" s="155">
        <v>5</v>
      </c>
      <c r="B45" s="160" t="s">
        <v>88</v>
      </c>
      <c r="C45" s="142" t="s">
        <v>44</v>
      </c>
      <c r="D45" s="142" t="s">
        <v>132</v>
      </c>
      <c r="E45" s="161" t="s">
        <v>112</v>
      </c>
      <c r="F45" s="190">
        <v>126.848935</v>
      </c>
      <c r="G45" s="190">
        <v>-8.5179659999999995</v>
      </c>
      <c r="H45" s="190">
        <v>126.888716</v>
      </c>
      <c r="I45" s="190">
        <v>-8.4564819999999994</v>
      </c>
      <c r="J45" s="145">
        <v>10.3</v>
      </c>
      <c r="K45" s="143" t="s">
        <v>135</v>
      </c>
      <c r="L45" s="201" t="s">
        <v>25</v>
      </c>
      <c r="M45" s="145">
        <v>1603</v>
      </c>
      <c r="N45" s="145">
        <v>45.26</v>
      </c>
      <c r="O45" s="165">
        <f t="shared" si="12"/>
        <v>22.17</v>
      </c>
      <c r="P45" s="135">
        <f t="shared" si="13"/>
        <v>785.20790985417602</v>
      </c>
      <c r="Q45" s="180">
        <f t="shared" si="16"/>
        <v>0</v>
      </c>
      <c r="R45" s="149"/>
      <c r="S45" s="149">
        <v>5000</v>
      </c>
      <c r="T45" s="142"/>
      <c r="U45" s="181">
        <v>19</v>
      </c>
      <c r="V45" s="148"/>
      <c r="W45" s="165"/>
      <c r="X45" s="148"/>
      <c r="Y45" s="165"/>
      <c r="Z45" s="151">
        <f>5000*AA45</f>
        <v>51500</v>
      </c>
      <c r="AA45" s="193">
        <f>J45</f>
        <v>10.3</v>
      </c>
      <c r="AB45" s="202">
        <f>5000*AC45</f>
        <v>51500</v>
      </c>
      <c r="AC45" s="150">
        <f>AA45</f>
        <v>10.3</v>
      </c>
      <c r="AD45" s="202">
        <f>5000*AE45</f>
        <v>51500</v>
      </c>
      <c r="AE45" s="151">
        <f>AC45</f>
        <v>10.3</v>
      </c>
      <c r="AF45" s="203">
        <f>31250*AG45</f>
        <v>321875</v>
      </c>
      <c r="AG45" s="152">
        <f>AE45</f>
        <v>10.3</v>
      </c>
      <c r="AH45" s="188">
        <f>5000*AI45</f>
        <v>51500</v>
      </c>
      <c r="AI45" s="197">
        <f>AG45</f>
        <v>10.3</v>
      </c>
      <c r="AJ45" s="154"/>
      <c r="AK45" s="239"/>
    </row>
    <row r="46" spans="1:37" ht="41.4" customHeight="1" x14ac:dyDescent="0.3">
      <c r="A46" s="155">
        <v>6</v>
      </c>
      <c r="B46" s="141" t="s">
        <v>93</v>
      </c>
      <c r="C46" s="142" t="s">
        <v>45</v>
      </c>
      <c r="D46" s="142" t="s">
        <v>58</v>
      </c>
      <c r="E46" s="177" t="s">
        <v>119</v>
      </c>
      <c r="F46" s="190">
        <v>126.96513400000001</v>
      </c>
      <c r="G46" s="190">
        <v>-8.5304369999999992</v>
      </c>
      <c r="H46" s="204">
        <v>126.927727</v>
      </c>
      <c r="I46" s="204">
        <v>-8.5332489999999996</v>
      </c>
      <c r="J46" s="205">
        <v>5.8</v>
      </c>
      <c r="K46" s="206" t="s">
        <v>144</v>
      </c>
      <c r="L46" s="207" t="s">
        <v>25</v>
      </c>
      <c r="M46" s="205">
        <v>4111</v>
      </c>
      <c r="N46" s="205">
        <f>43.4</f>
        <v>43.4</v>
      </c>
      <c r="O46" s="165">
        <f t="shared" si="12"/>
        <v>13.17</v>
      </c>
      <c r="P46" s="135">
        <f t="shared" si="13"/>
        <v>1247.5085253456223</v>
      </c>
      <c r="Q46" s="180">
        <f t="shared" si="16"/>
        <v>0</v>
      </c>
      <c r="R46" s="149"/>
      <c r="S46" s="208">
        <v>5000</v>
      </c>
      <c r="T46" s="142"/>
      <c r="U46" s="181">
        <v>20</v>
      </c>
      <c r="V46" s="148"/>
      <c r="W46" s="165"/>
      <c r="X46" s="148"/>
      <c r="Y46" s="165"/>
      <c r="Z46" s="151">
        <f>5000*AA46</f>
        <v>29000</v>
      </c>
      <c r="AA46" s="193">
        <f>J46</f>
        <v>5.8</v>
      </c>
      <c r="AB46" s="202">
        <f>5000*AC46</f>
        <v>29000</v>
      </c>
      <c r="AC46" s="150">
        <f>AA46</f>
        <v>5.8</v>
      </c>
      <c r="AD46" s="202">
        <f>5000*AE46</f>
        <v>29000</v>
      </c>
      <c r="AE46" s="151">
        <f>AC46</f>
        <v>5.8</v>
      </c>
      <c r="AF46" s="203">
        <f>31250*AG46</f>
        <v>181250</v>
      </c>
      <c r="AG46" s="152">
        <f>AE46</f>
        <v>5.8</v>
      </c>
      <c r="AH46" s="188">
        <f>5000*AI46</f>
        <v>29000</v>
      </c>
      <c r="AI46" s="197">
        <f>AG46</f>
        <v>5.8</v>
      </c>
      <c r="AJ46" s="154"/>
      <c r="AK46" s="239"/>
    </row>
    <row r="47" spans="1:37" ht="41.4" customHeight="1" x14ac:dyDescent="0.3">
      <c r="A47" s="155">
        <v>8</v>
      </c>
      <c r="B47" s="160" t="s">
        <v>91</v>
      </c>
      <c r="C47" s="142" t="s">
        <v>44</v>
      </c>
      <c r="D47" s="142" t="s">
        <v>121</v>
      </c>
      <c r="E47" s="161" t="s">
        <v>116</v>
      </c>
      <c r="F47" s="190">
        <v>126.918738</v>
      </c>
      <c r="G47" s="190">
        <v>-8.3512190000000004</v>
      </c>
      <c r="H47" s="190">
        <v>126.93129999999999</v>
      </c>
      <c r="I47" s="190">
        <v>-8.3599370000000004</v>
      </c>
      <c r="J47" s="145">
        <v>2.1</v>
      </c>
      <c r="K47" s="143" t="s">
        <v>135</v>
      </c>
      <c r="L47" s="201" t="s">
        <v>25</v>
      </c>
      <c r="M47" s="145">
        <v>3345</v>
      </c>
      <c r="N47" s="145">
        <v>82.14</v>
      </c>
      <c r="O47" s="165">
        <f t="shared" si="12"/>
        <v>5.7700000000000005</v>
      </c>
      <c r="P47" s="135">
        <f t="shared" si="13"/>
        <v>234.97260774287804</v>
      </c>
      <c r="Q47" s="180">
        <f t="shared" si="16"/>
        <v>0</v>
      </c>
      <c r="R47" s="149"/>
      <c r="S47" s="149">
        <v>5000</v>
      </c>
      <c r="T47" s="142"/>
      <c r="U47" s="209">
        <v>21</v>
      </c>
      <c r="V47" s="218"/>
      <c r="W47" s="210"/>
      <c r="X47" s="218"/>
      <c r="Y47" s="219"/>
      <c r="Z47" s="151">
        <f>5000*AA47</f>
        <v>10500</v>
      </c>
      <c r="AA47" s="193">
        <f>J47</f>
        <v>2.1</v>
      </c>
      <c r="AB47" s="202">
        <f>5000*AC47</f>
        <v>10500</v>
      </c>
      <c r="AC47" s="150">
        <f>AA47</f>
        <v>2.1</v>
      </c>
      <c r="AD47" s="202">
        <f>5000*AE47</f>
        <v>10500</v>
      </c>
      <c r="AE47" s="151">
        <f>AC47</f>
        <v>2.1</v>
      </c>
      <c r="AF47" s="203">
        <f>31250*AG47</f>
        <v>65625</v>
      </c>
      <c r="AG47" s="152">
        <f>AE47</f>
        <v>2.1</v>
      </c>
      <c r="AH47" s="188">
        <f>5000*AI47</f>
        <v>10500</v>
      </c>
      <c r="AI47" s="197">
        <f>AG47</f>
        <v>2.1</v>
      </c>
      <c r="AJ47" s="211"/>
      <c r="AK47" s="239"/>
    </row>
    <row r="48" spans="1:37" ht="41.4" customHeight="1" thickBot="1" x14ac:dyDescent="0.35">
      <c r="A48" s="241">
        <v>20</v>
      </c>
      <c r="B48" s="242" t="s">
        <v>87</v>
      </c>
      <c r="C48" s="243" t="s">
        <v>94</v>
      </c>
      <c r="D48" s="243" t="s">
        <v>94</v>
      </c>
      <c r="E48" s="244" t="s">
        <v>111</v>
      </c>
      <c r="F48" s="245">
        <v>127.255039</v>
      </c>
      <c r="G48" s="245">
        <v>-8.3953900000000008</v>
      </c>
      <c r="H48" s="245">
        <v>127.300624</v>
      </c>
      <c r="I48" s="245">
        <v>-8.4146269999999994</v>
      </c>
      <c r="J48" s="242">
        <v>8</v>
      </c>
      <c r="K48" s="244" t="s">
        <v>135</v>
      </c>
      <c r="L48" s="246" t="s">
        <v>25</v>
      </c>
      <c r="M48" s="242">
        <v>1989</v>
      </c>
      <c r="N48" s="242">
        <v>119.69</v>
      </c>
      <c r="O48" s="247">
        <f t="shared" si="12"/>
        <v>17.57</v>
      </c>
      <c r="P48" s="248">
        <f t="shared" si="13"/>
        <v>291.97702397861138</v>
      </c>
      <c r="Q48" s="249">
        <f t="shared" si="16"/>
        <v>0</v>
      </c>
      <c r="R48" s="250"/>
      <c r="S48" s="250">
        <v>5000</v>
      </c>
      <c r="T48" s="243"/>
      <c r="U48" s="251">
        <v>22</v>
      </c>
      <c r="V48" s="252"/>
      <c r="W48" s="247"/>
      <c r="X48" s="252"/>
      <c r="Y48" s="247"/>
      <c r="Z48" s="253">
        <f>5000*AA48</f>
        <v>40000</v>
      </c>
      <c r="AA48" s="254">
        <f>J48</f>
        <v>8</v>
      </c>
      <c r="AB48" s="255">
        <f>5000*AC48</f>
        <v>40000</v>
      </c>
      <c r="AC48" s="256">
        <f>AA48</f>
        <v>8</v>
      </c>
      <c r="AD48" s="255">
        <f>5000*AE48</f>
        <v>40000</v>
      </c>
      <c r="AE48" s="253">
        <f>AC48</f>
        <v>8</v>
      </c>
      <c r="AF48" s="257">
        <f>31250*AG48</f>
        <v>250000</v>
      </c>
      <c r="AG48" s="258">
        <f>AE48</f>
        <v>8</v>
      </c>
      <c r="AH48" s="259">
        <f>5000*AI48</f>
        <v>40000</v>
      </c>
      <c r="AI48" s="260">
        <f>AG48</f>
        <v>8</v>
      </c>
      <c r="AJ48" s="261"/>
      <c r="AK48" s="262"/>
    </row>
    <row r="49" spans="1:37" ht="36.65" customHeight="1" x14ac:dyDescent="0.45">
      <c r="A49" s="923" t="s">
        <v>142</v>
      </c>
      <c r="B49" s="924"/>
      <c r="C49" s="924"/>
      <c r="D49" s="924"/>
      <c r="E49" s="924"/>
      <c r="F49" s="924"/>
      <c r="G49" s="924"/>
      <c r="H49" s="924"/>
      <c r="I49" s="924"/>
      <c r="J49" s="924"/>
      <c r="K49" s="925"/>
      <c r="L49" s="112" t="s">
        <v>17</v>
      </c>
      <c r="M49" s="103"/>
      <c r="N49" s="103"/>
      <c r="O49" s="103"/>
      <c r="P49" s="103"/>
      <c r="Q49" s="103"/>
      <c r="R49" s="103"/>
      <c r="S49" s="103"/>
      <c r="T49" s="104"/>
      <c r="U49" s="105"/>
      <c r="V49" s="113">
        <v>0</v>
      </c>
      <c r="W49" s="113">
        <v>0</v>
      </c>
      <c r="X49" s="113">
        <v>0</v>
      </c>
      <c r="Y49" s="113">
        <v>0</v>
      </c>
      <c r="Z49" s="114">
        <f>SUM(Z9:Z25)+SUM(Z45:Z48)</f>
        <v>430750</v>
      </c>
      <c r="AA49" s="115">
        <f>SUM(AA9:AA25)+SUM(AA45:AA48)</f>
        <v>86.15</v>
      </c>
      <c r="AB49" s="114">
        <f>SUM(AB10:AB25)+SUM(AB45:AB48)</f>
        <v>395750</v>
      </c>
      <c r="AC49" s="115">
        <f>SUM(AC9:AC25)+SUM(AC45:AC48)</f>
        <v>86.15</v>
      </c>
      <c r="AD49" s="116">
        <f>SUM(AD9:AD25)+AD29+AD30+AD33+AD35+SUM(AD45:AD48)</f>
        <v>508000</v>
      </c>
      <c r="AE49" s="117">
        <f>SUM(AE9:AE25)+AE29+AE30+AE33+AE35+SUM(AE45:AE48)</f>
        <v>101.60000000000002</v>
      </c>
      <c r="AF49" s="116">
        <f>SUM(AF27:AF31)+AF33+SUM(AF35:AF38)+AF40</f>
        <v>265500</v>
      </c>
      <c r="AG49" s="116">
        <f>SUM(AG27:AG31)+AG33+SUM(AG35:AG38)+AG40</f>
        <v>53.099999999999994</v>
      </c>
      <c r="AH49" s="116">
        <f>SUM(AH9:AH25)+SUM(AH27:AH40)+AH43+SUM(AH45:AH48)</f>
        <v>813250</v>
      </c>
      <c r="AI49" s="118">
        <f>SUM(AI9:AI25)+SUM(AI27:AI40)+AI43+SUM(AI45:AI48)</f>
        <v>162.65000000000003</v>
      </c>
      <c r="AJ49" s="119">
        <f>V49+X49+Z49+AB49+AD49+AF49+AH49</f>
        <v>2413250</v>
      </c>
      <c r="AK49" s="266">
        <f>W49+Y49+AA49+AC49+AE49+AG49+AI49</f>
        <v>489.65000000000003</v>
      </c>
    </row>
    <row r="50" spans="1:37" ht="36.65" customHeight="1" x14ac:dyDescent="0.45">
      <c r="A50" s="926"/>
      <c r="B50" s="927"/>
      <c r="C50" s="927"/>
      <c r="D50" s="927"/>
      <c r="E50" s="927"/>
      <c r="F50" s="927"/>
      <c r="G50" s="927"/>
      <c r="H50" s="927"/>
      <c r="I50" s="927"/>
      <c r="J50" s="927"/>
      <c r="K50" s="928"/>
      <c r="L50" s="120" t="s">
        <v>18</v>
      </c>
      <c r="M50" s="102"/>
      <c r="N50" s="102"/>
      <c r="O50" s="102"/>
      <c r="P50" s="102"/>
      <c r="Q50" s="102"/>
      <c r="R50" s="102"/>
      <c r="S50" s="102"/>
      <c r="T50" s="106"/>
      <c r="U50" s="107"/>
      <c r="V50" s="121">
        <v>0</v>
      </c>
      <c r="W50" s="121">
        <v>0</v>
      </c>
      <c r="X50" s="121">
        <v>0</v>
      </c>
      <c r="Y50" s="121">
        <v>0</v>
      </c>
      <c r="Z50" s="121">
        <v>0</v>
      </c>
      <c r="AA50" s="121">
        <v>0</v>
      </c>
      <c r="AB50" s="121">
        <v>0</v>
      </c>
      <c r="AC50" s="122">
        <v>0</v>
      </c>
      <c r="AD50" s="123">
        <v>0</v>
      </c>
      <c r="AE50" s="123">
        <v>0</v>
      </c>
      <c r="AF50" s="123">
        <f>SUM(AF9:AF25)+SUM(AF45:AF48)</f>
        <v>2692187.5</v>
      </c>
      <c r="AG50" s="123">
        <f>SUM(AG9:AG25)+SUM(AG45:AG48)</f>
        <v>86.15</v>
      </c>
      <c r="AH50" s="123">
        <v>0</v>
      </c>
      <c r="AI50" s="124">
        <v>0</v>
      </c>
      <c r="AJ50" s="125">
        <f t="shared" ref="AJ50:AJ51" si="17">V50+X50+Z50+AB50+AD50+AF50+AH50</f>
        <v>2692187.5</v>
      </c>
      <c r="AK50" s="267">
        <f t="shared" ref="AK50:AK51" si="18">W50+Y50+AA50+AC50+AE50+AG50+AI50</f>
        <v>86.15</v>
      </c>
    </row>
    <row r="51" spans="1:37" ht="36.65" customHeight="1" x14ac:dyDescent="0.45">
      <c r="A51" s="926"/>
      <c r="B51" s="927"/>
      <c r="C51" s="927"/>
      <c r="D51" s="927"/>
      <c r="E51" s="927"/>
      <c r="F51" s="927"/>
      <c r="G51" s="927"/>
      <c r="H51" s="927"/>
      <c r="I51" s="927"/>
      <c r="J51" s="927"/>
      <c r="K51" s="928"/>
      <c r="L51" s="126" t="s">
        <v>19</v>
      </c>
      <c r="M51" s="102"/>
      <c r="N51" s="102"/>
      <c r="O51" s="102"/>
      <c r="P51" s="102"/>
      <c r="Q51" s="102"/>
      <c r="R51" s="102"/>
      <c r="S51" s="102"/>
      <c r="T51" s="106"/>
      <c r="U51" s="108"/>
      <c r="V51" s="127">
        <v>0</v>
      </c>
      <c r="W51" s="127">
        <v>0</v>
      </c>
      <c r="X51" s="127">
        <v>0</v>
      </c>
      <c r="Y51" s="127">
        <v>0</v>
      </c>
      <c r="Z51" s="128">
        <f>SUM(Z27:Z31)</f>
        <v>2499937.5</v>
      </c>
      <c r="AA51" s="129">
        <f>SUM(AA27:AA31)</f>
        <v>12.629999999999999</v>
      </c>
      <c r="AB51" s="128">
        <f>SUM(AB27:AB36)</f>
        <v>5662437.5</v>
      </c>
      <c r="AC51" s="129">
        <f>SUM(AC27:AC36)</f>
        <v>27.13</v>
      </c>
      <c r="AD51" s="128">
        <f>AD27+AD28+AD31+AD32+AD34+SUM(AD36:AD40)</f>
        <v>5083062.5</v>
      </c>
      <c r="AE51" s="128">
        <f>AE27+AE28+AE31+AE32+AE34+SUM(AE36:AE40)</f>
        <v>25.13</v>
      </c>
      <c r="AF51" s="128">
        <f>AF32+AF34+AF39+SUM(AF41:AF44)</f>
        <v>3678125</v>
      </c>
      <c r="AG51" s="128">
        <f>AG32+AG34+AG39+SUM(AG41:AG44)</f>
        <v>15.15</v>
      </c>
      <c r="AH51" s="128">
        <f>AH41+AH42+AH44</f>
        <v>1354375</v>
      </c>
      <c r="AI51" s="129">
        <f>AI41+AI42+AI44</f>
        <v>6.05</v>
      </c>
      <c r="AJ51" s="130">
        <f t="shared" si="17"/>
        <v>18277937.5</v>
      </c>
      <c r="AK51" s="268">
        <f t="shared" si="18"/>
        <v>86.09</v>
      </c>
    </row>
    <row r="52" spans="1:37" ht="36.65" customHeight="1" thickBot="1" x14ac:dyDescent="0.5">
      <c r="A52" s="929"/>
      <c r="B52" s="930"/>
      <c r="C52" s="930"/>
      <c r="D52" s="930"/>
      <c r="E52" s="930"/>
      <c r="F52" s="930"/>
      <c r="G52" s="930"/>
      <c r="H52" s="930"/>
      <c r="I52" s="930"/>
      <c r="J52" s="930"/>
      <c r="K52" s="931"/>
      <c r="L52" s="131" t="s">
        <v>20</v>
      </c>
      <c r="M52" s="109"/>
      <c r="N52" s="109"/>
      <c r="O52" s="109"/>
      <c r="P52" s="109"/>
      <c r="Q52" s="109"/>
      <c r="R52" s="109"/>
      <c r="S52" s="109"/>
      <c r="T52" s="110"/>
      <c r="U52" s="111"/>
      <c r="V52" s="132">
        <f>SUM(V49:V51)</f>
        <v>0</v>
      </c>
      <c r="W52" s="132">
        <f t="shared" ref="W52:AI52" si="19">SUM(W49:W51)</f>
        <v>0</v>
      </c>
      <c r="X52" s="132">
        <f t="shared" si="19"/>
        <v>0</v>
      </c>
      <c r="Y52" s="132">
        <f t="shared" si="19"/>
        <v>0</v>
      </c>
      <c r="Z52" s="132">
        <f t="shared" si="19"/>
        <v>2930687.5</v>
      </c>
      <c r="AA52" s="132">
        <f t="shared" si="19"/>
        <v>98.78</v>
      </c>
      <c r="AB52" s="132">
        <f t="shared" si="19"/>
        <v>6058187.5</v>
      </c>
      <c r="AC52" s="132">
        <f t="shared" si="19"/>
        <v>113.28</v>
      </c>
      <c r="AD52" s="132">
        <f t="shared" si="19"/>
        <v>5591062.5</v>
      </c>
      <c r="AE52" s="132">
        <f t="shared" si="19"/>
        <v>126.73000000000002</v>
      </c>
      <c r="AF52" s="132">
        <f t="shared" si="19"/>
        <v>6635812.5</v>
      </c>
      <c r="AG52" s="132">
        <f t="shared" si="19"/>
        <v>154.4</v>
      </c>
      <c r="AH52" s="132">
        <f t="shared" si="19"/>
        <v>2167625</v>
      </c>
      <c r="AI52" s="132">
        <f t="shared" si="19"/>
        <v>168.70000000000005</v>
      </c>
      <c r="AJ52" s="133">
        <f>SUM(AJ49:AJ51)</f>
        <v>23383375</v>
      </c>
      <c r="AK52" s="269">
        <f>SUM(AK49:AK51)</f>
        <v>661.8900000000001</v>
      </c>
    </row>
    <row r="53" spans="1:37" ht="18" x14ac:dyDescent="0.4">
      <c r="J53" s="100"/>
    </row>
    <row r="54" spans="1:37" ht="18" x14ac:dyDescent="0.4">
      <c r="J54" s="100"/>
    </row>
  </sheetData>
  <mergeCells count="54">
    <mergeCell ref="A1:AK1"/>
    <mergeCell ref="A3:A8"/>
    <mergeCell ref="B3:B8"/>
    <mergeCell ref="C3:C8"/>
    <mergeCell ref="D3:D8"/>
    <mergeCell ref="E3:E8"/>
    <mergeCell ref="AG7:AG8"/>
    <mergeCell ref="AH7:AH8"/>
    <mergeCell ref="F3:G4"/>
    <mergeCell ref="F5:F8"/>
    <mergeCell ref="G5:G8"/>
    <mergeCell ref="K3:L4"/>
    <mergeCell ref="M3:M8"/>
    <mergeCell ref="H3:I4"/>
    <mergeCell ref="H5:H8"/>
    <mergeCell ref="I5:I8"/>
    <mergeCell ref="J3:J8"/>
    <mergeCell ref="Q3:Q8"/>
    <mergeCell ref="K5:K8"/>
    <mergeCell ref="N3:N8"/>
    <mergeCell ref="O3:O8"/>
    <mergeCell ref="P3:P8"/>
    <mergeCell ref="AF4:AK4"/>
    <mergeCell ref="Z4:AE4"/>
    <mergeCell ref="U3:U8"/>
    <mergeCell ref="AE7:AE8"/>
    <mergeCell ref="AF7:AF8"/>
    <mergeCell ref="V7:V8"/>
    <mergeCell ref="W7:W8"/>
    <mergeCell ref="X7:X8"/>
    <mergeCell ref="Y7:Y8"/>
    <mergeCell ref="Z7:Z8"/>
    <mergeCell ref="X5:Y6"/>
    <mergeCell ref="Z5:AA6"/>
    <mergeCell ref="AB5:AC6"/>
    <mergeCell ref="AJ5:AK6"/>
    <mergeCell ref="AF5:AG6"/>
    <mergeCell ref="AH5:AI6"/>
    <mergeCell ref="AD5:AE6"/>
    <mergeCell ref="AD7:AD8"/>
    <mergeCell ref="AI7:AI8"/>
    <mergeCell ref="AJ7:AJ8"/>
    <mergeCell ref="A49:K52"/>
    <mergeCell ref="R3:R8"/>
    <mergeCell ref="S3:T4"/>
    <mergeCell ref="V3:AK3"/>
    <mergeCell ref="V4:Y4"/>
    <mergeCell ref="S5:S8"/>
    <mergeCell ref="T5:T8"/>
    <mergeCell ref="V5:W6"/>
    <mergeCell ref="AA7:AA8"/>
    <mergeCell ref="AB7:AB8"/>
    <mergeCell ref="AC7:AC8"/>
    <mergeCell ref="AK7:AK8"/>
  </mergeCells>
  <printOptions horizontalCentered="1" verticalCentered="1"/>
  <pageMargins left="0.7" right="0.7" top="0.75" bottom="0.75" header="0.3" footer="0.3"/>
  <pageSetup paperSize="8" scale="3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B43D2-7F12-4D0D-BFDC-ACE2480366FD}">
  <sheetPr>
    <tabColor theme="8" tint="0.59999389629810485"/>
  </sheetPr>
  <dimension ref="A1:R91"/>
  <sheetViews>
    <sheetView tabSelected="1" view="pageBreakPreview" zoomScale="80" zoomScaleNormal="90" zoomScaleSheetLayoutView="80" workbookViewId="0">
      <selection activeCell="E26" sqref="E26"/>
    </sheetView>
  </sheetViews>
  <sheetFormatPr defaultRowHeight="14.5" x14ac:dyDescent="0.35"/>
  <cols>
    <col min="1" max="1" width="37.90625" customWidth="1"/>
    <col min="2" max="2" width="9.08984375" bestFit="1" customWidth="1"/>
    <col min="3" max="3" width="9" customWidth="1"/>
    <col min="4" max="4" width="9.08984375" bestFit="1" customWidth="1"/>
    <col min="5" max="5" width="9.453125" customWidth="1"/>
    <col min="6" max="6" width="11.6328125" bestFit="1" customWidth="1"/>
    <col min="7" max="7" width="13.54296875" customWidth="1"/>
    <col min="8" max="8" width="11.6328125" customWidth="1"/>
    <col min="9" max="9" width="6.36328125" customWidth="1"/>
    <col min="10" max="10" width="5.81640625" bestFit="1" customWidth="1"/>
    <col min="11" max="11" width="5.90625" customWidth="1"/>
    <col min="12" max="12" width="5.81640625" bestFit="1" customWidth="1"/>
    <col min="13" max="14" width="6.08984375" bestFit="1" customWidth="1"/>
    <col min="15" max="15" width="8.81640625" bestFit="1" customWidth="1"/>
    <col min="16" max="16" width="6.6328125" bestFit="1" customWidth="1"/>
    <col min="17" max="17" width="15.453125" style="537" customWidth="1"/>
    <col min="18" max="18" width="10.81640625" customWidth="1"/>
  </cols>
  <sheetData>
    <row r="1" spans="1:18" ht="21.5" customHeight="1" thickBot="1" x14ac:dyDescent="0.4">
      <c r="A1" s="1005" t="s">
        <v>443</v>
      </c>
      <c r="B1" s="1005"/>
      <c r="C1" s="1005"/>
      <c r="D1" s="1005"/>
      <c r="E1" s="1005"/>
      <c r="F1" s="1005"/>
      <c r="G1" s="1005"/>
      <c r="H1" s="1005"/>
      <c r="I1" s="1005"/>
      <c r="J1" s="1005"/>
      <c r="K1" s="1005"/>
      <c r="L1" s="1005"/>
      <c r="M1" s="1005"/>
      <c r="N1" s="1005"/>
      <c r="O1" s="1005"/>
      <c r="P1" s="1005"/>
      <c r="Q1" s="1005"/>
      <c r="R1" s="1005"/>
    </row>
    <row r="2" spans="1:18" s="462" customFormat="1" ht="18.5" customHeight="1" x14ac:dyDescent="0.35">
      <c r="A2" s="1008" t="s">
        <v>2</v>
      </c>
      <c r="B2" s="999" t="s">
        <v>3</v>
      </c>
      <c r="C2" s="1000"/>
      <c r="D2" s="999" t="s">
        <v>417</v>
      </c>
      <c r="E2" s="1000"/>
      <c r="F2" s="994" t="s">
        <v>391</v>
      </c>
      <c r="G2" s="997" t="s">
        <v>26</v>
      </c>
      <c r="H2" s="998"/>
      <c r="I2" s="1029" t="s">
        <v>181</v>
      </c>
      <c r="J2" s="1030"/>
      <c r="K2" s="1023" t="s">
        <v>407</v>
      </c>
      <c r="L2" s="1024"/>
      <c r="M2" s="1017" t="s">
        <v>377</v>
      </c>
      <c r="N2" s="1018"/>
      <c r="O2" s="1011" t="s">
        <v>378</v>
      </c>
      <c r="P2" s="1012"/>
      <c r="Q2" s="1055" t="s">
        <v>150</v>
      </c>
      <c r="R2" s="1035" t="s">
        <v>0</v>
      </c>
    </row>
    <row r="3" spans="1:18" s="462" customFormat="1" ht="12" customHeight="1" x14ac:dyDescent="0.35">
      <c r="A3" s="1009"/>
      <c r="B3" s="1001"/>
      <c r="C3" s="1002"/>
      <c r="D3" s="1001"/>
      <c r="E3" s="1002"/>
      <c r="F3" s="995"/>
      <c r="G3" s="994" t="s">
        <v>7</v>
      </c>
      <c r="H3" s="543" t="s">
        <v>14</v>
      </c>
      <c r="I3" s="1031"/>
      <c r="J3" s="1032"/>
      <c r="K3" s="1025"/>
      <c r="L3" s="1026"/>
      <c r="M3" s="1019"/>
      <c r="N3" s="1020"/>
      <c r="O3" s="1013"/>
      <c r="P3" s="1014"/>
      <c r="Q3" s="1056"/>
      <c r="R3" s="1036"/>
    </row>
    <row r="4" spans="1:18" s="462" customFormat="1" ht="12" customHeight="1" x14ac:dyDescent="0.35">
      <c r="A4" s="1009"/>
      <c r="B4" s="1003"/>
      <c r="C4" s="1004"/>
      <c r="D4" s="1003"/>
      <c r="E4" s="1004"/>
      <c r="F4" s="995"/>
      <c r="G4" s="995"/>
      <c r="H4" s="480" t="s">
        <v>420</v>
      </c>
      <c r="I4" s="1033"/>
      <c r="J4" s="1034"/>
      <c r="K4" s="1027"/>
      <c r="L4" s="1028"/>
      <c r="M4" s="1021"/>
      <c r="N4" s="1022"/>
      <c r="O4" s="1015"/>
      <c r="P4" s="1016"/>
      <c r="Q4" s="1056"/>
      <c r="R4" s="1036"/>
    </row>
    <row r="5" spans="1:18" s="462" customFormat="1" ht="12" customHeight="1" thickBot="1" x14ac:dyDescent="0.4">
      <c r="A5" s="1010"/>
      <c r="B5" s="552" t="s">
        <v>415</v>
      </c>
      <c r="C5" s="552" t="s">
        <v>416</v>
      </c>
      <c r="D5" s="552" t="s">
        <v>415</v>
      </c>
      <c r="E5" s="552" t="s">
        <v>416</v>
      </c>
      <c r="F5" s="996"/>
      <c r="G5" s="996"/>
      <c r="H5" s="544" t="s">
        <v>421</v>
      </c>
      <c r="I5" s="480" t="s">
        <v>408</v>
      </c>
      <c r="J5" s="480" t="s">
        <v>376</v>
      </c>
      <c r="K5" s="482" t="s">
        <v>408</v>
      </c>
      <c r="L5" s="482" t="s">
        <v>376</v>
      </c>
      <c r="M5" s="486" t="s">
        <v>408</v>
      </c>
      <c r="N5" s="486" t="s">
        <v>376</v>
      </c>
      <c r="O5" s="489" t="s">
        <v>408</v>
      </c>
      <c r="P5" s="599" t="s">
        <v>376</v>
      </c>
      <c r="Q5" s="1057"/>
      <c r="R5" s="1037"/>
    </row>
    <row r="6" spans="1:18" x14ac:dyDescent="0.35">
      <c r="A6" s="622" t="s">
        <v>393</v>
      </c>
      <c r="B6" s="639" t="s">
        <v>243</v>
      </c>
      <c r="C6" s="639" t="s">
        <v>244</v>
      </c>
      <c r="D6" s="639" t="s">
        <v>245</v>
      </c>
      <c r="E6" s="639" t="s">
        <v>246</v>
      </c>
      <c r="F6" s="472">
        <v>3.5</v>
      </c>
      <c r="G6" s="614" t="s">
        <v>236</v>
      </c>
      <c r="H6" s="623" t="s">
        <v>25</v>
      </c>
      <c r="I6" s="538">
        <v>3.5</v>
      </c>
      <c r="J6" s="493" cm="1">
        <f t="array" ref="J6:J21">I6:I21/F22</f>
        <v>4.6969778302646419E-2</v>
      </c>
      <c r="K6" s="524">
        <v>0</v>
      </c>
      <c r="L6" s="496" cm="1">
        <f t="array" ref="L6:L21">K6:K21/F22</f>
        <v>0</v>
      </c>
      <c r="M6" s="624"/>
      <c r="N6" s="625" cm="1">
        <f t="array" ref="N6:N21">M6:M21/F22</f>
        <v>0</v>
      </c>
      <c r="O6" s="626">
        <v>0</v>
      </c>
      <c r="P6" s="605" cm="1">
        <f t="array" ref="P6:P21">O6:O21/F22</f>
        <v>0</v>
      </c>
      <c r="Q6" s="606" t="s">
        <v>50</v>
      </c>
      <c r="R6" s="1006" t="s">
        <v>45</v>
      </c>
    </row>
    <row r="7" spans="1:18" x14ac:dyDescent="0.35">
      <c r="A7" s="591" t="s">
        <v>397</v>
      </c>
      <c r="B7" s="632" t="s">
        <v>239</v>
      </c>
      <c r="C7" s="632" t="s">
        <v>240</v>
      </c>
      <c r="D7" s="632" t="s">
        <v>241</v>
      </c>
      <c r="E7" s="632" t="s">
        <v>242</v>
      </c>
      <c r="F7" s="468">
        <v>19.875</v>
      </c>
      <c r="G7" s="620" t="s">
        <v>238</v>
      </c>
      <c r="H7" s="545" t="s">
        <v>25</v>
      </c>
      <c r="I7" s="469">
        <v>7</v>
      </c>
      <c r="J7" s="481">
        <v>9.3939556605292837E-2</v>
      </c>
      <c r="K7" s="483">
        <v>9</v>
      </c>
      <c r="L7" s="484">
        <v>0.12077942992109078</v>
      </c>
      <c r="M7" s="487">
        <v>3.875</v>
      </c>
      <c r="N7" s="488">
        <v>5.2002254549358536E-2</v>
      </c>
      <c r="O7" s="515">
        <v>0</v>
      </c>
      <c r="P7" s="600">
        <v>0</v>
      </c>
      <c r="Q7" s="591" t="s">
        <v>52</v>
      </c>
      <c r="R7" s="1007"/>
    </row>
    <row r="8" spans="1:18" x14ac:dyDescent="0.35">
      <c r="A8" s="595" t="s">
        <v>396</v>
      </c>
      <c r="B8" s="632" t="s">
        <v>247</v>
      </c>
      <c r="C8" s="632" t="s">
        <v>248</v>
      </c>
      <c r="D8" s="632" t="s">
        <v>249</v>
      </c>
      <c r="E8" s="632" t="s">
        <v>250</v>
      </c>
      <c r="F8" s="468">
        <v>3</v>
      </c>
      <c r="G8" s="613" t="s">
        <v>251</v>
      </c>
      <c r="H8" s="545" t="s">
        <v>25</v>
      </c>
      <c r="I8" s="469">
        <v>3</v>
      </c>
      <c r="J8" s="481">
        <v>4.0259809973696929E-2</v>
      </c>
      <c r="K8" s="483"/>
      <c r="L8" s="484">
        <v>0</v>
      </c>
      <c r="M8" s="499"/>
      <c r="N8" s="488">
        <v>0</v>
      </c>
      <c r="O8" s="515">
        <v>0</v>
      </c>
      <c r="P8" s="600">
        <v>0</v>
      </c>
      <c r="Q8" s="591" t="s">
        <v>53</v>
      </c>
      <c r="R8" s="1007"/>
    </row>
    <row r="9" spans="1:18" x14ac:dyDescent="0.35">
      <c r="A9" s="595" t="s">
        <v>392</v>
      </c>
      <c r="B9" s="632">
        <v>127.01532400000001</v>
      </c>
      <c r="C9" s="632">
        <v>-8.4430669999999992</v>
      </c>
      <c r="D9" s="632">
        <v>127.03996600000001</v>
      </c>
      <c r="E9" s="632">
        <v>-8.4615939999999998</v>
      </c>
      <c r="F9" s="468">
        <v>4.2</v>
      </c>
      <c r="G9" s="613" t="s">
        <v>195</v>
      </c>
      <c r="H9" s="546" t="s">
        <v>85</v>
      </c>
      <c r="I9" s="469">
        <v>4.2</v>
      </c>
      <c r="J9" s="481">
        <v>5.6363733963175705E-2</v>
      </c>
      <c r="K9" s="483"/>
      <c r="L9" s="484">
        <v>0</v>
      </c>
      <c r="M9" s="499"/>
      <c r="N9" s="488">
        <v>0</v>
      </c>
      <c r="O9" s="515">
        <v>0</v>
      </c>
      <c r="P9" s="600">
        <v>0</v>
      </c>
      <c r="Q9" s="591" t="s">
        <v>127</v>
      </c>
      <c r="R9" s="1007"/>
    </row>
    <row r="10" spans="1:18" x14ac:dyDescent="0.35">
      <c r="A10" s="595" t="s">
        <v>398</v>
      </c>
      <c r="B10" s="632">
        <v>126.96513400000001</v>
      </c>
      <c r="C10" s="632">
        <v>-8.5304369999999992</v>
      </c>
      <c r="D10" s="632">
        <v>126.927727</v>
      </c>
      <c r="E10" s="632">
        <v>-8.5332489999999996</v>
      </c>
      <c r="F10" s="468">
        <v>5.8</v>
      </c>
      <c r="G10" s="613" t="s">
        <v>144</v>
      </c>
      <c r="H10" s="545" t="s">
        <v>25</v>
      </c>
      <c r="I10" s="469">
        <v>5.8</v>
      </c>
      <c r="J10" s="481">
        <v>7.7835632615814054E-2</v>
      </c>
      <c r="K10" s="483"/>
      <c r="L10" s="484">
        <v>0</v>
      </c>
      <c r="M10" s="499"/>
      <c r="N10" s="488">
        <v>0</v>
      </c>
      <c r="O10" s="515">
        <v>0</v>
      </c>
      <c r="P10" s="600">
        <v>0</v>
      </c>
      <c r="Q10" s="591" t="s">
        <v>58</v>
      </c>
      <c r="R10" s="1007"/>
    </row>
    <row r="11" spans="1:18" x14ac:dyDescent="0.35">
      <c r="A11" s="591" t="s">
        <v>399</v>
      </c>
      <c r="B11" s="632">
        <v>126.927727</v>
      </c>
      <c r="C11" s="632">
        <v>-8.5332489999999996</v>
      </c>
      <c r="D11" s="632" t="s">
        <v>259</v>
      </c>
      <c r="E11" s="632" t="s">
        <v>260</v>
      </c>
      <c r="F11" s="468">
        <v>5.8</v>
      </c>
      <c r="G11" s="620" t="s">
        <v>238</v>
      </c>
      <c r="H11" s="545" t="s">
        <v>25</v>
      </c>
      <c r="I11" s="469">
        <v>5.8</v>
      </c>
      <c r="J11" s="481">
        <v>7.7835632615814054E-2</v>
      </c>
      <c r="K11" s="483"/>
      <c r="L11" s="484">
        <v>0</v>
      </c>
      <c r="M11" s="499"/>
      <c r="N11" s="488">
        <v>0</v>
      </c>
      <c r="O11" s="515">
        <v>0</v>
      </c>
      <c r="P11" s="600">
        <v>0</v>
      </c>
      <c r="Q11" s="591" t="s">
        <v>58</v>
      </c>
      <c r="R11" s="1007"/>
    </row>
    <row r="12" spans="1:18" x14ac:dyDescent="0.35">
      <c r="A12" s="595" t="s">
        <v>400</v>
      </c>
      <c r="B12" s="632" t="s">
        <v>278</v>
      </c>
      <c r="C12" s="632" t="s">
        <v>279</v>
      </c>
      <c r="D12" s="632" t="s">
        <v>280</v>
      </c>
      <c r="E12" s="632" t="s">
        <v>281</v>
      </c>
      <c r="F12" s="468">
        <v>8</v>
      </c>
      <c r="G12" s="613" t="s">
        <v>262</v>
      </c>
      <c r="H12" s="547" t="s">
        <v>8</v>
      </c>
      <c r="I12" s="469"/>
      <c r="J12" s="481">
        <v>0</v>
      </c>
      <c r="K12" s="483"/>
      <c r="L12" s="484">
        <v>0</v>
      </c>
      <c r="M12" s="499">
        <v>4.24</v>
      </c>
      <c r="N12" s="488">
        <v>5.6900531429491662E-2</v>
      </c>
      <c r="O12" s="515">
        <v>3.76</v>
      </c>
      <c r="P12" s="600">
        <v>5.0458961833700147E-2</v>
      </c>
      <c r="Q12" s="591" t="s">
        <v>258</v>
      </c>
      <c r="R12" s="1007"/>
    </row>
    <row r="13" spans="1:18" x14ac:dyDescent="0.35">
      <c r="A13" s="595" t="s">
        <v>401</v>
      </c>
      <c r="B13" s="632" t="s">
        <v>269</v>
      </c>
      <c r="C13" s="632" t="s">
        <v>270</v>
      </c>
      <c r="D13" s="632" t="s">
        <v>271</v>
      </c>
      <c r="E13" s="632" t="s">
        <v>272</v>
      </c>
      <c r="F13" s="468">
        <v>3.2749999999999999</v>
      </c>
      <c r="G13" s="613" t="s">
        <v>84</v>
      </c>
      <c r="H13" s="547" t="s">
        <v>8</v>
      </c>
      <c r="I13" s="469"/>
      <c r="J13" s="481">
        <v>0</v>
      </c>
      <c r="K13" s="483"/>
      <c r="L13" s="484">
        <v>0</v>
      </c>
      <c r="M13" s="499">
        <v>3.2749999999999999</v>
      </c>
      <c r="N13" s="488">
        <v>4.3950292554619144E-2</v>
      </c>
      <c r="O13" s="515">
        <v>0</v>
      </c>
      <c r="P13" s="600">
        <v>0</v>
      </c>
      <c r="Q13" s="591" t="s">
        <v>127</v>
      </c>
      <c r="R13" s="1007"/>
    </row>
    <row r="14" spans="1:18" x14ac:dyDescent="0.35">
      <c r="A14" s="595" t="s">
        <v>402</v>
      </c>
      <c r="B14" s="632" t="s">
        <v>274</v>
      </c>
      <c r="C14" s="632" t="s">
        <v>275</v>
      </c>
      <c r="D14" s="632" t="s">
        <v>276</v>
      </c>
      <c r="E14" s="632" t="s">
        <v>277</v>
      </c>
      <c r="F14" s="468">
        <v>3.7160000000000002</v>
      </c>
      <c r="G14" s="613" t="s">
        <v>84</v>
      </c>
      <c r="H14" s="547" t="s">
        <v>8</v>
      </c>
      <c r="I14" s="469"/>
      <c r="J14" s="481">
        <v>0</v>
      </c>
      <c r="K14" s="483"/>
      <c r="L14" s="484">
        <v>0</v>
      </c>
      <c r="M14" s="499"/>
      <c r="N14" s="488">
        <v>0</v>
      </c>
      <c r="O14" s="515">
        <v>3.7160000000000002</v>
      </c>
      <c r="P14" s="600">
        <v>4.98684846207526E-2</v>
      </c>
      <c r="Q14" s="591" t="s">
        <v>127</v>
      </c>
      <c r="R14" s="1007"/>
    </row>
    <row r="15" spans="1:18" x14ac:dyDescent="0.35">
      <c r="A15" s="595" t="s">
        <v>403</v>
      </c>
      <c r="B15" s="632" t="s">
        <v>286</v>
      </c>
      <c r="C15" s="632" t="s">
        <v>287</v>
      </c>
      <c r="D15" s="632" t="s">
        <v>288</v>
      </c>
      <c r="E15" s="632" t="s">
        <v>289</v>
      </c>
      <c r="F15" s="468">
        <v>1.5</v>
      </c>
      <c r="G15" s="613" t="s">
        <v>251</v>
      </c>
      <c r="H15" s="546" t="s">
        <v>85</v>
      </c>
      <c r="I15" s="469"/>
      <c r="J15" s="481">
        <v>0</v>
      </c>
      <c r="K15" s="483"/>
      <c r="L15" s="484">
        <v>0</v>
      </c>
      <c r="M15" s="499"/>
      <c r="N15" s="488">
        <v>0</v>
      </c>
      <c r="O15" s="515">
        <v>1.5</v>
      </c>
      <c r="P15" s="600">
        <v>2.0129904986848465E-2</v>
      </c>
      <c r="Q15" s="591" t="s">
        <v>283</v>
      </c>
      <c r="R15" s="1007"/>
    </row>
    <row r="16" spans="1:18" x14ac:dyDescent="0.35">
      <c r="A16" s="595" t="s">
        <v>394</v>
      </c>
      <c r="B16" s="632" t="s">
        <v>434</v>
      </c>
      <c r="C16" s="632" t="s">
        <v>435</v>
      </c>
      <c r="D16" s="632" t="s">
        <v>436</v>
      </c>
      <c r="E16" s="632" t="s">
        <v>437</v>
      </c>
      <c r="F16" s="468">
        <v>2.2999999999999998</v>
      </c>
      <c r="G16" s="613" t="s">
        <v>251</v>
      </c>
      <c r="H16" s="545" t="s">
        <v>25</v>
      </c>
      <c r="I16" s="469">
        <v>2.2999999999999998</v>
      </c>
      <c r="J16" s="481">
        <v>3.0865854313167643E-2</v>
      </c>
      <c r="K16" s="483"/>
      <c r="L16" s="484">
        <v>0</v>
      </c>
      <c r="M16" s="499"/>
      <c r="N16" s="488">
        <v>0</v>
      </c>
      <c r="O16" s="515">
        <v>0</v>
      </c>
      <c r="P16" s="600">
        <v>0</v>
      </c>
      <c r="Q16" s="591" t="s">
        <v>58</v>
      </c>
      <c r="R16" s="1007"/>
    </row>
    <row r="17" spans="1:18" x14ac:dyDescent="0.35">
      <c r="A17" s="595" t="s">
        <v>404</v>
      </c>
      <c r="B17" s="632" t="s">
        <v>253</v>
      </c>
      <c r="C17" s="632" t="s">
        <v>254</v>
      </c>
      <c r="D17" s="632" t="s">
        <v>255</v>
      </c>
      <c r="E17" s="632" t="s">
        <v>256</v>
      </c>
      <c r="F17" s="468">
        <v>2.2999999999999998</v>
      </c>
      <c r="G17" s="613" t="s">
        <v>251</v>
      </c>
      <c r="H17" s="545" t="s">
        <v>25</v>
      </c>
      <c r="I17" s="469">
        <v>2.2999999999999998</v>
      </c>
      <c r="J17" s="481">
        <v>3.0865854313167643E-2</v>
      </c>
      <c r="K17" s="483"/>
      <c r="L17" s="484">
        <v>0</v>
      </c>
      <c r="M17" s="499"/>
      <c r="N17" s="488">
        <v>0</v>
      </c>
      <c r="O17" s="515">
        <v>0</v>
      </c>
      <c r="P17" s="600">
        <v>0</v>
      </c>
      <c r="Q17" s="591" t="s">
        <v>58</v>
      </c>
      <c r="R17" s="1007"/>
    </row>
    <row r="18" spans="1:18" x14ac:dyDescent="0.35">
      <c r="A18" s="595" t="s">
        <v>395</v>
      </c>
      <c r="B18" s="632" t="s">
        <v>266</v>
      </c>
      <c r="C18" s="632" t="s">
        <v>267</v>
      </c>
      <c r="D18" s="632" t="s">
        <v>264</v>
      </c>
      <c r="E18" s="632" t="s">
        <v>265</v>
      </c>
      <c r="F18" s="468">
        <v>1</v>
      </c>
      <c r="G18" s="613" t="s">
        <v>251</v>
      </c>
      <c r="H18" s="545" t="s">
        <v>25</v>
      </c>
      <c r="I18" s="469">
        <v>1</v>
      </c>
      <c r="J18" s="481">
        <v>1.3419936657898977E-2</v>
      </c>
      <c r="K18" s="483"/>
      <c r="L18" s="484">
        <v>0</v>
      </c>
      <c r="M18" s="499"/>
      <c r="N18" s="488">
        <v>0</v>
      </c>
      <c r="O18" s="515">
        <v>0</v>
      </c>
      <c r="P18" s="600">
        <v>0</v>
      </c>
      <c r="Q18" s="591" t="s">
        <v>58</v>
      </c>
      <c r="R18" s="1007"/>
    </row>
    <row r="19" spans="1:18" x14ac:dyDescent="0.35">
      <c r="A19" s="595" t="s">
        <v>405</v>
      </c>
      <c r="B19" s="632" t="s">
        <v>298</v>
      </c>
      <c r="C19" s="632" t="s">
        <v>299</v>
      </c>
      <c r="D19" s="632" t="s">
        <v>438</v>
      </c>
      <c r="E19" s="632" t="s">
        <v>439</v>
      </c>
      <c r="F19" s="468">
        <v>4.25</v>
      </c>
      <c r="G19" s="613" t="s">
        <v>251</v>
      </c>
      <c r="H19" s="545" t="s">
        <v>25</v>
      </c>
      <c r="I19" s="469">
        <v>4.25</v>
      </c>
      <c r="J19" s="481">
        <v>5.7034730796070653E-2</v>
      </c>
      <c r="K19" s="483"/>
      <c r="L19" s="484">
        <v>0</v>
      </c>
      <c r="M19" s="499"/>
      <c r="N19" s="488">
        <v>0</v>
      </c>
      <c r="O19" s="515">
        <v>0</v>
      </c>
      <c r="P19" s="600">
        <v>0</v>
      </c>
      <c r="Q19" s="591" t="s">
        <v>296</v>
      </c>
      <c r="R19" s="1007"/>
    </row>
    <row r="20" spans="1:18" x14ac:dyDescent="0.35">
      <c r="A20" s="595" t="s">
        <v>419</v>
      </c>
      <c r="B20" s="632" t="s">
        <v>292</v>
      </c>
      <c r="C20" s="632" t="s">
        <v>293</v>
      </c>
      <c r="D20" s="632" t="s">
        <v>440</v>
      </c>
      <c r="E20" s="632" t="s">
        <v>441</v>
      </c>
      <c r="F20" s="468">
        <v>1</v>
      </c>
      <c r="G20" s="613" t="s">
        <v>251</v>
      </c>
      <c r="H20" s="546" t="s">
        <v>85</v>
      </c>
      <c r="I20" s="469">
        <v>1</v>
      </c>
      <c r="J20" s="481">
        <v>1.3419936657898977E-2</v>
      </c>
      <c r="K20" s="483"/>
      <c r="L20" s="484">
        <v>0</v>
      </c>
      <c r="M20" s="499"/>
      <c r="N20" s="488">
        <v>0</v>
      </c>
      <c r="O20" s="515">
        <v>0</v>
      </c>
      <c r="P20" s="600">
        <v>0</v>
      </c>
      <c r="Q20" s="591" t="s">
        <v>58</v>
      </c>
      <c r="R20" s="1007"/>
    </row>
    <row r="21" spans="1:18" x14ac:dyDescent="0.35">
      <c r="A21" s="595" t="s">
        <v>406</v>
      </c>
      <c r="B21" s="632" t="s">
        <v>245</v>
      </c>
      <c r="C21" s="632" t="s">
        <v>246</v>
      </c>
      <c r="D21" s="632"/>
      <c r="E21" s="632"/>
      <c r="F21" s="468">
        <v>5</v>
      </c>
      <c r="G21" s="613" t="s">
        <v>295</v>
      </c>
      <c r="H21" s="547" t="s">
        <v>8</v>
      </c>
      <c r="I21" s="469"/>
      <c r="J21" s="481">
        <v>0</v>
      </c>
      <c r="K21" s="483"/>
      <c r="L21" s="484">
        <v>0</v>
      </c>
      <c r="M21" s="499"/>
      <c r="N21" s="488">
        <v>0</v>
      </c>
      <c r="O21" s="515">
        <v>5</v>
      </c>
      <c r="P21" s="600">
        <v>6.709968328949488E-2</v>
      </c>
      <c r="Q21" s="591" t="s">
        <v>51</v>
      </c>
      <c r="R21" s="1007"/>
    </row>
    <row r="22" spans="1:18" ht="15" thickBot="1" x14ac:dyDescent="0.4">
      <c r="A22" s="1073" t="s">
        <v>409</v>
      </c>
      <c r="B22" s="1074"/>
      <c r="C22" s="1074"/>
      <c r="D22" s="1074"/>
      <c r="E22" s="1074"/>
      <c r="F22" s="473">
        <f>SUM(F6:F21)</f>
        <v>74.515999999999991</v>
      </c>
      <c r="G22" s="473"/>
      <c r="H22" s="473"/>
      <c r="I22" s="539">
        <f>SUM(I6:I21)</f>
        <v>40.15</v>
      </c>
      <c r="J22" s="528">
        <f>SUM(_xlfn.ANCHORARRAY(J6))</f>
        <v>0.5388104568146439</v>
      </c>
      <c r="K22" s="540">
        <f>SUM(K6:K21)</f>
        <v>9</v>
      </c>
      <c r="L22" s="521">
        <f>SUM(_xlfn.ANCHORARRAY(L6))</f>
        <v>0.12077942992109078</v>
      </c>
      <c r="M22" s="541">
        <f>SUM(M6:M21)</f>
        <v>11.39</v>
      </c>
      <c r="N22" s="503">
        <f>SUM(_xlfn.ANCHORARRAY(N6))</f>
        <v>0.15285307853346936</v>
      </c>
      <c r="O22" s="542">
        <f>SUM(O6:O21)</f>
        <v>13.975999999999999</v>
      </c>
      <c r="P22" s="604">
        <f>SUM(_xlfn.ANCHORARRAY(P6))</f>
        <v>0.1875570347307961</v>
      </c>
      <c r="Q22" s="609"/>
      <c r="R22" s="610"/>
    </row>
    <row r="23" spans="1:18" ht="14.5" customHeight="1" x14ac:dyDescent="0.35">
      <c r="A23" s="596" t="s">
        <v>129</v>
      </c>
      <c r="B23" s="636">
        <v>126.799249</v>
      </c>
      <c r="C23" s="636">
        <v>-8.5845210000000005</v>
      </c>
      <c r="D23" s="636">
        <v>126.84336500000001</v>
      </c>
      <c r="E23" s="636">
        <v>-8.5632079999999995</v>
      </c>
      <c r="F23" s="472">
        <v>8</v>
      </c>
      <c r="G23" s="614" t="s">
        <v>23</v>
      </c>
      <c r="H23" s="547" t="s">
        <v>8</v>
      </c>
      <c r="I23" s="538"/>
      <c r="J23" s="493" cm="1">
        <f t="array" ref="J23:J32">I23:I32/F33</f>
        <v>0</v>
      </c>
      <c r="K23" s="524"/>
      <c r="L23" s="496" cm="1">
        <f t="array" ref="L23:L32">K23:K32/F33</f>
        <v>0</v>
      </c>
      <c r="M23" s="506">
        <v>8</v>
      </c>
      <c r="N23" s="507" cm="1">
        <f t="array" ref="N23:N32">M23:M32/F33</f>
        <v>0.19370460048426147</v>
      </c>
      <c r="O23" s="518">
        <v>0</v>
      </c>
      <c r="P23" s="605" cm="1">
        <f t="array" ref="P23:P32">O23:O32/F33</f>
        <v>0</v>
      </c>
      <c r="Q23" s="598" t="s">
        <v>120</v>
      </c>
      <c r="R23" s="1040" t="s">
        <v>43</v>
      </c>
    </row>
    <row r="24" spans="1:18" x14ac:dyDescent="0.35">
      <c r="A24" s="597" t="s">
        <v>164</v>
      </c>
      <c r="B24" s="637">
        <v>126.83092600000001</v>
      </c>
      <c r="C24" s="637">
        <v>-8.4245789999999996</v>
      </c>
      <c r="D24" s="637">
        <v>126.888716</v>
      </c>
      <c r="E24" s="637">
        <v>-8.4564819999999994</v>
      </c>
      <c r="F24" s="468">
        <v>6.5</v>
      </c>
      <c r="G24" s="613" t="s">
        <v>165</v>
      </c>
      <c r="H24" s="548" t="s">
        <v>85</v>
      </c>
      <c r="I24" s="469">
        <v>6.5</v>
      </c>
      <c r="J24" s="481">
        <v>0.15738498789346245</v>
      </c>
      <c r="K24" s="483">
        <v>0</v>
      </c>
      <c r="L24" s="484">
        <v>0</v>
      </c>
      <c r="M24" s="500"/>
      <c r="N24" s="501">
        <v>0</v>
      </c>
      <c r="O24" s="470">
        <v>0</v>
      </c>
      <c r="P24" s="600">
        <v>0</v>
      </c>
      <c r="Q24" s="591" t="s">
        <v>166</v>
      </c>
      <c r="R24" s="1007"/>
    </row>
    <row r="25" spans="1:18" x14ac:dyDescent="0.35">
      <c r="A25" s="597" t="s">
        <v>109</v>
      </c>
      <c r="B25" s="637">
        <v>126.826787</v>
      </c>
      <c r="C25" s="637">
        <v>-8.5382250000000006</v>
      </c>
      <c r="D25" s="637">
        <v>126.779279</v>
      </c>
      <c r="E25" s="637">
        <v>-8.5248629999999999</v>
      </c>
      <c r="F25" s="468">
        <v>4.75</v>
      </c>
      <c r="G25" s="613" t="s">
        <v>23</v>
      </c>
      <c r="H25" s="548" t="s">
        <v>85</v>
      </c>
      <c r="I25" s="469">
        <v>2.4500000000000002</v>
      </c>
      <c r="J25" s="481">
        <v>5.9322033898305086E-2</v>
      </c>
      <c r="K25" s="483">
        <v>2.2999999999999998</v>
      </c>
      <c r="L25" s="484">
        <v>5.5690072639225173E-2</v>
      </c>
      <c r="M25" s="500"/>
      <c r="N25" s="501">
        <v>0</v>
      </c>
      <c r="O25" s="470">
        <v>0</v>
      </c>
      <c r="P25" s="600">
        <v>0</v>
      </c>
      <c r="Q25" s="591" t="s">
        <v>130</v>
      </c>
      <c r="R25" s="1007"/>
    </row>
    <row r="26" spans="1:18" x14ac:dyDescent="0.35">
      <c r="A26" s="598" t="s">
        <v>63</v>
      </c>
      <c r="B26" s="638">
        <v>126.848935</v>
      </c>
      <c r="C26" s="638">
        <v>-8.5179659999999995</v>
      </c>
      <c r="D26" s="638">
        <v>126.888716</v>
      </c>
      <c r="E26" s="638">
        <v>-8.4564819999999994</v>
      </c>
      <c r="F26" s="468">
        <v>7</v>
      </c>
      <c r="G26" s="613" t="s">
        <v>165</v>
      </c>
      <c r="H26" s="549" t="s">
        <v>25</v>
      </c>
      <c r="I26" s="469">
        <v>7</v>
      </c>
      <c r="J26" s="481">
        <v>0.16949152542372881</v>
      </c>
      <c r="K26" s="483">
        <v>0</v>
      </c>
      <c r="L26" s="484">
        <v>0</v>
      </c>
      <c r="M26" s="500"/>
      <c r="N26" s="501">
        <v>0</v>
      </c>
      <c r="O26" s="470">
        <v>0</v>
      </c>
      <c r="P26" s="600">
        <v>0</v>
      </c>
      <c r="Q26" s="591" t="s">
        <v>47</v>
      </c>
      <c r="R26" s="1007"/>
    </row>
    <row r="27" spans="1:18" x14ac:dyDescent="0.35">
      <c r="A27" s="593" t="s">
        <v>168</v>
      </c>
      <c r="B27" s="637">
        <v>126.96513400000001</v>
      </c>
      <c r="C27" s="637">
        <v>-8.5304369999999992</v>
      </c>
      <c r="D27" s="637">
        <v>126.927727</v>
      </c>
      <c r="E27" s="637">
        <v>-8.5332489999999996</v>
      </c>
      <c r="F27" s="468">
        <v>2</v>
      </c>
      <c r="G27" s="613" t="s">
        <v>165</v>
      </c>
      <c r="H27" s="548" t="s">
        <v>85</v>
      </c>
      <c r="I27" s="469">
        <v>1</v>
      </c>
      <c r="J27" s="481">
        <v>2.4213075060532684E-2</v>
      </c>
      <c r="K27" s="483"/>
      <c r="L27" s="484">
        <v>0</v>
      </c>
      <c r="M27" s="500"/>
      <c r="N27" s="501">
        <v>0</v>
      </c>
      <c r="O27" s="470">
        <v>1</v>
      </c>
      <c r="P27" s="600">
        <v>2.4213075060532684E-2</v>
      </c>
      <c r="Q27" s="591" t="s">
        <v>130</v>
      </c>
      <c r="R27" s="1007"/>
    </row>
    <row r="28" spans="1:18" x14ac:dyDescent="0.35">
      <c r="A28" s="597" t="s">
        <v>170</v>
      </c>
      <c r="B28" s="637">
        <v>126.918738</v>
      </c>
      <c r="C28" s="637">
        <v>-8.3512190000000004</v>
      </c>
      <c r="D28" s="637">
        <v>126.93129999999999</v>
      </c>
      <c r="E28" s="637">
        <v>-8.3599370000000004</v>
      </c>
      <c r="F28" s="468">
        <v>1.2</v>
      </c>
      <c r="G28" s="613" t="s">
        <v>23</v>
      </c>
      <c r="H28" s="547" t="s">
        <v>8</v>
      </c>
      <c r="I28" s="469"/>
      <c r="J28" s="481">
        <v>0</v>
      </c>
      <c r="K28" s="483"/>
      <c r="L28" s="484">
        <v>0</v>
      </c>
      <c r="M28" s="500"/>
      <c r="N28" s="501">
        <v>0</v>
      </c>
      <c r="O28" s="470">
        <v>1.2</v>
      </c>
      <c r="P28" s="600">
        <v>2.905569007263922E-2</v>
      </c>
      <c r="Q28" s="591" t="s">
        <v>130</v>
      </c>
      <c r="R28" s="1007"/>
    </row>
    <row r="29" spans="1:18" x14ac:dyDescent="0.35">
      <c r="A29" s="598" t="s">
        <v>171</v>
      </c>
      <c r="B29" s="638">
        <v>126.848935</v>
      </c>
      <c r="C29" s="638">
        <v>-8.5179659999999995</v>
      </c>
      <c r="D29" s="638">
        <v>126.888716</v>
      </c>
      <c r="E29" s="638">
        <v>-8.4564819999999994</v>
      </c>
      <c r="F29" s="468">
        <v>3</v>
      </c>
      <c r="G29" s="613" t="s">
        <v>23</v>
      </c>
      <c r="H29" s="550" t="s">
        <v>8</v>
      </c>
      <c r="I29" s="469"/>
      <c r="J29" s="481">
        <v>0</v>
      </c>
      <c r="K29" s="483"/>
      <c r="L29" s="484">
        <v>0</v>
      </c>
      <c r="M29" s="500"/>
      <c r="N29" s="501">
        <v>0</v>
      </c>
      <c r="O29" s="470">
        <v>3</v>
      </c>
      <c r="P29" s="600">
        <v>7.2639225181598058E-2</v>
      </c>
      <c r="Q29" s="607" t="s">
        <v>130</v>
      </c>
      <c r="R29" s="1007"/>
    </row>
    <row r="30" spans="1:18" x14ac:dyDescent="0.35">
      <c r="A30" s="598" t="s">
        <v>172</v>
      </c>
      <c r="B30" s="638">
        <v>126.96513400000001</v>
      </c>
      <c r="C30" s="638">
        <v>-8.5304369999999992</v>
      </c>
      <c r="D30" s="638">
        <v>126.927727</v>
      </c>
      <c r="E30" s="638">
        <v>-8.5332489999999996</v>
      </c>
      <c r="F30" s="468">
        <v>3.65</v>
      </c>
      <c r="G30" s="613" t="s">
        <v>23</v>
      </c>
      <c r="H30" s="550" t="s">
        <v>8</v>
      </c>
      <c r="I30" s="469"/>
      <c r="J30" s="481">
        <v>0</v>
      </c>
      <c r="K30" s="483"/>
      <c r="L30" s="484">
        <v>0</v>
      </c>
      <c r="M30" s="500"/>
      <c r="N30" s="501">
        <v>0</v>
      </c>
      <c r="O30" s="470">
        <v>3.65</v>
      </c>
      <c r="P30" s="600">
        <v>8.8377723970944302E-2</v>
      </c>
      <c r="Q30" s="591" t="s">
        <v>173</v>
      </c>
      <c r="R30" s="1007"/>
    </row>
    <row r="31" spans="1:18" x14ac:dyDescent="0.35">
      <c r="A31" s="598" t="s">
        <v>174</v>
      </c>
      <c r="B31" s="638">
        <v>126.918738</v>
      </c>
      <c r="C31" s="638">
        <v>-8.3512190000000004</v>
      </c>
      <c r="D31" s="638">
        <v>126.93129999999999</v>
      </c>
      <c r="E31" s="638">
        <v>-8.3599370000000004</v>
      </c>
      <c r="F31" s="468">
        <v>4</v>
      </c>
      <c r="G31" s="613" t="s">
        <v>165</v>
      </c>
      <c r="H31" s="548" t="s">
        <v>85</v>
      </c>
      <c r="I31" s="469">
        <v>0.25</v>
      </c>
      <c r="J31" s="481">
        <v>6.0532687651331709E-3</v>
      </c>
      <c r="K31" s="483"/>
      <c r="L31" s="484">
        <v>0</v>
      </c>
      <c r="M31" s="500"/>
      <c r="N31" s="501">
        <v>0</v>
      </c>
      <c r="O31" s="470">
        <v>3.75</v>
      </c>
      <c r="P31" s="600">
        <v>9.0799031476997569E-2</v>
      </c>
      <c r="Q31" s="591" t="s">
        <v>173</v>
      </c>
      <c r="R31" s="1007"/>
    </row>
    <row r="32" spans="1:18" ht="15" thickBot="1" x14ac:dyDescent="0.4">
      <c r="A32" s="598" t="s">
        <v>380</v>
      </c>
      <c r="B32" s="638" t="s">
        <v>432</v>
      </c>
      <c r="C32" s="638" t="s">
        <v>433</v>
      </c>
      <c r="D32" s="638"/>
      <c r="E32" s="638"/>
      <c r="F32" s="468">
        <v>1.2</v>
      </c>
      <c r="G32" s="613" t="s">
        <v>165</v>
      </c>
      <c r="H32" s="551" t="s">
        <v>85</v>
      </c>
      <c r="I32" s="469">
        <v>0.25</v>
      </c>
      <c r="J32" s="481">
        <v>6.0532687651331709E-3</v>
      </c>
      <c r="K32" s="483"/>
      <c r="L32" s="484">
        <v>0</v>
      </c>
      <c r="M32" s="500"/>
      <c r="N32" s="501">
        <v>0</v>
      </c>
      <c r="O32" s="470">
        <v>0.95</v>
      </c>
      <c r="P32" s="600">
        <v>2.300242130750605E-2</v>
      </c>
      <c r="Q32" s="591" t="s">
        <v>379</v>
      </c>
      <c r="R32" s="1007"/>
    </row>
    <row r="33" spans="1:18" ht="15" thickBot="1" x14ac:dyDescent="0.4">
      <c r="A33" s="1052" t="s">
        <v>410</v>
      </c>
      <c r="B33" s="1053"/>
      <c r="C33" s="1053"/>
      <c r="D33" s="1053"/>
      <c r="E33" s="1054"/>
      <c r="F33" s="473">
        <f>SUM(F23:F32)</f>
        <v>41.300000000000004</v>
      </c>
      <c r="G33" s="473"/>
      <c r="H33" s="473"/>
      <c r="I33" s="527">
        <f>SUM(I23:I32)</f>
        <v>17.45</v>
      </c>
      <c r="J33" s="528">
        <f>SUM(_xlfn.ANCHORARRAY(J23))</f>
        <v>0.42251815980629537</v>
      </c>
      <c r="K33" s="520">
        <f>SUM(K23:K32)</f>
        <v>2.2999999999999998</v>
      </c>
      <c r="L33" s="521">
        <f>SUM(_xlfn.ANCHORARRAY(L23))</f>
        <v>5.5690072639225173E-2</v>
      </c>
      <c r="M33" s="502">
        <f>SUM(M23:M32)</f>
        <v>8</v>
      </c>
      <c r="N33" s="503">
        <f>SUM(_xlfn.ANCHORARRAY(N23))</f>
        <v>0.19370460048426147</v>
      </c>
      <c r="O33" s="516">
        <f>SUM(O23:O32)</f>
        <v>13.549999999999999</v>
      </c>
      <c r="P33" s="604">
        <f>SUM(_xlfn.ANCHORARRAY(P23))</f>
        <v>0.3280871670702179</v>
      </c>
      <c r="Q33" s="611"/>
      <c r="R33" s="610"/>
    </row>
    <row r="34" spans="1:18" x14ac:dyDescent="0.35">
      <c r="A34" s="640"/>
      <c r="B34" s="640"/>
      <c r="C34" s="640"/>
      <c r="D34" s="640"/>
      <c r="E34" s="640"/>
      <c r="F34" s="641"/>
      <c r="G34" s="641"/>
      <c r="H34" s="641"/>
      <c r="I34" s="641"/>
      <c r="J34" s="642"/>
      <c r="K34" s="641"/>
      <c r="L34" s="642"/>
      <c r="M34" s="641"/>
      <c r="N34" s="642"/>
      <c r="O34" s="641"/>
      <c r="P34" s="642"/>
      <c r="Q34" s="643"/>
      <c r="R34" s="644"/>
    </row>
    <row r="35" spans="1:18" x14ac:dyDescent="0.35">
      <c r="A35" s="640"/>
      <c r="B35" s="640"/>
      <c r="C35" s="640"/>
      <c r="D35" s="640"/>
      <c r="E35" s="640"/>
      <c r="F35" s="641"/>
      <c r="G35" s="641"/>
      <c r="H35" s="641"/>
      <c r="I35" s="641"/>
      <c r="J35" s="642"/>
      <c r="K35" s="641"/>
      <c r="L35" s="642"/>
      <c r="M35" s="641"/>
      <c r="N35" s="642"/>
      <c r="O35" s="641"/>
      <c r="P35" s="642"/>
      <c r="Q35" s="643"/>
      <c r="R35" s="644"/>
    </row>
    <row r="36" spans="1:18" x14ac:dyDescent="0.35">
      <c r="A36" s="640"/>
      <c r="B36" s="640"/>
      <c r="C36" s="640"/>
      <c r="D36" s="640"/>
      <c r="E36" s="640"/>
      <c r="F36" s="641"/>
      <c r="G36" s="641"/>
      <c r="H36" s="641"/>
      <c r="I36" s="641"/>
      <c r="J36" s="642"/>
      <c r="K36" s="641"/>
      <c r="L36" s="642"/>
      <c r="M36" s="641"/>
      <c r="N36" s="642"/>
      <c r="O36" s="641"/>
      <c r="P36" s="642"/>
      <c r="Q36" s="643"/>
      <c r="R36" s="644"/>
    </row>
    <row r="37" spans="1:18" x14ac:dyDescent="0.35">
      <c r="A37" s="640"/>
      <c r="B37" s="640"/>
      <c r="C37" s="640"/>
      <c r="D37" s="640"/>
      <c r="E37" s="640"/>
      <c r="F37" s="641"/>
      <c r="G37" s="641"/>
      <c r="H37" s="641"/>
      <c r="I37" s="641"/>
      <c r="J37" s="642"/>
      <c r="K37" s="641"/>
      <c r="L37" s="642"/>
      <c r="M37" s="641"/>
      <c r="N37" s="642"/>
      <c r="O37" s="641"/>
      <c r="P37" s="642"/>
      <c r="Q37" s="643"/>
      <c r="R37" s="644"/>
    </row>
    <row r="38" spans="1:18" x14ac:dyDescent="0.35">
      <c r="A38" s="640"/>
      <c r="B38" s="640"/>
      <c r="C38" s="640"/>
      <c r="D38" s="640"/>
      <c r="E38" s="640"/>
      <c r="F38" s="641"/>
      <c r="G38" s="641"/>
      <c r="H38" s="641"/>
      <c r="I38" s="641"/>
      <c r="J38" s="642"/>
      <c r="K38" s="641"/>
      <c r="L38" s="642"/>
      <c r="M38" s="641"/>
      <c r="N38" s="642"/>
      <c r="O38" s="641"/>
      <c r="P38" s="642"/>
      <c r="Q38" s="643"/>
      <c r="R38" s="644"/>
    </row>
    <row r="39" spans="1:18" x14ac:dyDescent="0.35">
      <c r="A39" s="640"/>
      <c r="B39" s="640"/>
      <c r="C39" s="640"/>
      <c r="D39" s="640"/>
      <c r="E39" s="640"/>
      <c r="F39" s="641"/>
      <c r="G39" s="641"/>
      <c r="H39" s="641"/>
      <c r="I39" s="641"/>
      <c r="J39" s="642"/>
      <c r="K39" s="641"/>
      <c r="L39" s="642"/>
      <c r="M39" s="641"/>
      <c r="N39" s="642"/>
      <c r="O39" s="641"/>
      <c r="P39" s="642"/>
      <c r="Q39" s="643"/>
      <c r="R39" s="644"/>
    </row>
    <row r="40" spans="1:18" ht="15" thickBot="1" x14ac:dyDescent="0.4">
      <c r="A40" s="640"/>
      <c r="B40" s="640"/>
      <c r="C40" s="640"/>
      <c r="D40" s="640"/>
      <c r="E40" s="640"/>
      <c r="F40" s="641"/>
      <c r="G40" s="641"/>
      <c r="H40" s="641"/>
      <c r="I40" s="641"/>
      <c r="J40" s="642"/>
      <c r="K40" s="641"/>
      <c r="L40" s="642"/>
      <c r="M40" s="641"/>
      <c r="N40" s="642"/>
      <c r="O40" s="641"/>
      <c r="P40" s="642"/>
      <c r="Q40" s="643"/>
      <c r="R40" s="644"/>
    </row>
    <row r="41" spans="1:18" x14ac:dyDescent="0.35">
      <c r="A41" s="1058" t="s">
        <v>2</v>
      </c>
      <c r="B41" s="1059" t="s">
        <v>3</v>
      </c>
      <c r="C41" s="1060"/>
      <c r="D41" s="1059" t="s">
        <v>417</v>
      </c>
      <c r="E41" s="1060"/>
      <c r="F41" s="1061" t="s">
        <v>391</v>
      </c>
      <c r="G41" s="1062" t="s">
        <v>26</v>
      </c>
      <c r="H41" s="1062"/>
      <c r="I41" s="1063" t="s">
        <v>181</v>
      </c>
      <c r="J41" s="1064"/>
      <c r="K41" s="1065" t="s">
        <v>407</v>
      </c>
      <c r="L41" s="1066"/>
      <c r="M41" s="1067" t="s">
        <v>377</v>
      </c>
      <c r="N41" s="1068"/>
      <c r="O41" s="1069" t="s">
        <v>378</v>
      </c>
      <c r="P41" s="1070"/>
      <c r="Q41" s="1055" t="s">
        <v>150</v>
      </c>
      <c r="R41" s="1035" t="s">
        <v>0</v>
      </c>
    </row>
    <row r="42" spans="1:18" x14ac:dyDescent="0.35">
      <c r="A42" s="1009"/>
      <c r="B42" s="1001"/>
      <c r="C42" s="1002"/>
      <c r="D42" s="1001"/>
      <c r="E42" s="1002"/>
      <c r="F42" s="995"/>
      <c r="G42" s="994" t="s">
        <v>7</v>
      </c>
      <c r="H42" s="543" t="s">
        <v>14</v>
      </c>
      <c r="I42" s="1031"/>
      <c r="J42" s="1032"/>
      <c r="K42" s="1025"/>
      <c r="L42" s="1026"/>
      <c r="M42" s="1019"/>
      <c r="N42" s="1020"/>
      <c r="O42" s="1013"/>
      <c r="P42" s="1071"/>
      <c r="Q42" s="1056"/>
      <c r="R42" s="1036"/>
    </row>
    <row r="43" spans="1:18" x14ac:dyDescent="0.35">
      <c r="A43" s="1009"/>
      <c r="B43" s="1003"/>
      <c r="C43" s="1004"/>
      <c r="D43" s="1003"/>
      <c r="E43" s="1004"/>
      <c r="F43" s="995"/>
      <c r="G43" s="995"/>
      <c r="H43" s="480" t="s">
        <v>420</v>
      </c>
      <c r="I43" s="1033"/>
      <c r="J43" s="1034"/>
      <c r="K43" s="1027"/>
      <c r="L43" s="1028"/>
      <c r="M43" s="1021"/>
      <c r="N43" s="1022"/>
      <c r="O43" s="1015"/>
      <c r="P43" s="1072"/>
      <c r="Q43" s="1056"/>
      <c r="R43" s="1036"/>
    </row>
    <row r="44" spans="1:18" ht="15" thickBot="1" x14ac:dyDescent="0.4">
      <c r="A44" s="1010"/>
      <c r="B44" s="553" t="s">
        <v>415</v>
      </c>
      <c r="C44" s="553" t="s">
        <v>416</v>
      </c>
      <c r="D44" s="553" t="s">
        <v>415</v>
      </c>
      <c r="E44" s="553" t="s">
        <v>416</v>
      </c>
      <c r="F44" s="996"/>
      <c r="G44" s="996"/>
      <c r="H44" s="544" t="s">
        <v>421</v>
      </c>
      <c r="I44" s="480" t="s">
        <v>408</v>
      </c>
      <c r="J44" s="480" t="s">
        <v>376</v>
      </c>
      <c r="K44" s="482" t="s">
        <v>408</v>
      </c>
      <c r="L44" s="482" t="s">
        <v>376</v>
      </c>
      <c r="M44" s="486" t="s">
        <v>408</v>
      </c>
      <c r="N44" s="486" t="s">
        <v>376</v>
      </c>
      <c r="O44" s="489" t="s">
        <v>408</v>
      </c>
      <c r="P44" s="599" t="s">
        <v>376</v>
      </c>
      <c r="Q44" s="1057"/>
      <c r="R44" s="1037"/>
    </row>
    <row r="45" spans="1:18" x14ac:dyDescent="0.35">
      <c r="A45" s="591" t="s">
        <v>104</v>
      </c>
      <c r="B45" s="633">
        <v>126.83604099999999</v>
      </c>
      <c r="C45" s="633">
        <v>-8.6817060000000001</v>
      </c>
      <c r="D45" s="633">
        <v>126.859624</v>
      </c>
      <c r="E45" s="633">
        <v>-8.6872249999999998</v>
      </c>
      <c r="F45" s="474">
        <v>3.05</v>
      </c>
      <c r="G45" s="615" t="s">
        <v>165</v>
      </c>
      <c r="H45" s="549" t="s">
        <v>25</v>
      </c>
      <c r="I45" s="529">
        <v>1</v>
      </c>
      <c r="J45" s="530" cm="1">
        <f t="array" ref="J45:J55">I45:I55/F56</f>
        <v>2.5000000000000001E-2</v>
      </c>
      <c r="K45" s="522"/>
      <c r="L45" s="523" cm="1">
        <f t="array" ref="L45:L55">K45:K55/F56</f>
        <v>0</v>
      </c>
      <c r="M45" s="504"/>
      <c r="N45" s="505" cm="1">
        <f t="array" ref="N45:N55">M45:M55/F56</f>
        <v>0</v>
      </c>
      <c r="O45" s="517">
        <v>2.0499999999999998</v>
      </c>
      <c r="P45" s="603" cm="1">
        <f t="array" ref="P45:P55">O45:O55/F56</f>
        <v>5.1249999999999997E-2</v>
      </c>
      <c r="Q45" s="591" t="s">
        <v>334</v>
      </c>
      <c r="R45" s="1043" t="s">
        <v>46</v>
      </c>
    </row>
    <row r="46" spans="1:18" ht="21" x14ac:dyDescent="0.35">
      <c r="A46" s="592" t="s">
        <v>341</v>
      </c>
      <c r="B46" s="631" t="s">
        <v>336</v>
      </c>
      <c r="C46" s="631" t="s">
        <v>337</v>
      </c>
      <c r="D46" s="631" t="s">
        <v>338</v>
      </c>
      <c r="E46" s="631" t="s">
        <v>339</v>
      </c>
      <c r="F46" s="475">
        <v>1.45</v>
      </c>
      <c r="G46" s="616" t="s">
        <v>82</v>
      </c>
      <c r="H46" s="548" t="s">
        <v>85</v>
      </c>
      <c r="I46" s="531">
        <v>1.45</v>
      </c>
      <c r="J46" s="493">
        <v>3.6249999999999998E-2</v>
      </c>
      <c r="K46" s="524"/>
      <c r="L46" s="496">
        <v>0</v>
      </c>
      <c r="M46" s="506"/>
      <c r="N46" s="507">
        <v>0</v>
      </c>
      <c r="O46" s="518">
        <v>0</v>
      </c>
      <c r="P46" s="605">
        <v>0</v>
      </c>
      <c r="Q46" s="607" t="s">
        <v>133</v>
      </c>
      <c r="R46" s="1044"/>
    </row>
    <row r="47" spans="1:18" ht="21" x14ac:dyDescent="0.35">
      <c r="A47" s="592" t="s">
        <v>340</v>
      </c>
      <c r="B47" s="631" t="s">
        <v>343</v>
      </c>
      <c r="C47" s="631" t="s">
        <v>344</v>
      </c>
      <c r="D47" s="631" t="s">
        <v>345</v>
      </c>
      <c r="E47" s="631" t="s">
        <v>346</v>
      </c>
      <c r="F47" s="475">
        <v>0.7</v>
      </c>
      <c r="G47" s="621" t="s">
        <v>342</v>
      </c>
      <c r="H47" s="549" t="s">
        <v>25</v>
      </c>
      <c r="I47" s="531">
        <v>0.7</v>
      </c>
      <c r="J47" s="493">
        <v>1.7499999999999998E-2</v>
      </c>
      <c r="K47" s="524"/>
      <c r="L47" s="496">
        <v>0</v>
      </c>
      <c r="M47" s="506"/>
      <c r="N47" s="507">
        <v>0</v>
      </c>
      <c r="O47" s="518">
        <v>0</v>
      </c>
      <c r="P47" s="605">
        <v>0</v>
      </c>
      <c r="Q47" s="607" t="s">
        <v>133</v>
      </c>
      <c r="R47" s="1044"/>
    </row>
    <row r="48" spans="1:18" x14ac:dyDescent="0.35">
      <c r="A48" s="593" t="s">
        <v>108</v>
      </c>
      <c r="B48" s="631">
        <v>126.82301</v>
      </c>
      <c r="C48" s="631">
        <v>-8.7128040000000002</v>
      </c>
      <c r="D48" s="631">
        <v>126.80778599999999</v>
      </c>
      <c r="E48" s="631">
        <v>-8.7185459999999999</v>
      </c>
      <c r="F48" s="475">
        <v>2.5</v>
      </c>
      <c r="G48" s="616" t="s">
        <v>84</v>
      </c>
      <c r="H48" s="547" t="s">
        <v>8</v>
      </c>
      <c r="I48" s="531"/>
      <c r="J48" s="493">
        <v>0</v>
      </c>
      <c r="K48" s="524"/>
      <c r="L48" s="496">
        <v>0</v>
      </c>
      <c r="M48" s="506">
        <v>2.5</v>
      </c>
      <c r="N48" s="507">
        <v>6.25E-2</v>
      </c>
      <c r="O48" s="518">
        <v>0</v>
      </c>
      <c r="P48" s="605">
        <v>0</v>
      </c>
      <c r="Q48" s="598" t="s">
        <v>125</v>
      </c>
      <c r="R48" s="1044"/>
    </row>
    <row r="49" spans="1:18" ht="14.5" customHeight="1" x14ac:dyDescent="0.35">
      <c r="A49" s="594" t="s">
        <v>347</v>
      </c>
      <c r="B49" s="631" t="s">
        <v>348</v>
      </c>
      <c r="C49" s="631" t="s">
        <v>349</v>
      </c>
      <c r="D49" s="631" t="s">
        <v>350</v>
      </c>
      <c r="E49" s="631" t="s">
        <v>351</v>
      </c>
      <c r="F49" s="475">
        <v>15.8</v>
      </c>
      <c r="G49" s="616" t="s">
        <v>165</v>
      </c>
      <c r="H49" s="548" t="s">
        <v>85</v>
      </c>
      <c r="I49" s="531">
        <v>10.4</v>
      </c>
      <c r="J49" s="493">
        <v>0.26</v>
      </c>
      <c r="K49" s="524">
        <v>5.4</v>
      </c>
      <c r="L49" s="496">
        <v>0.13500000000000001</v>
      </c>
      <c r="M49" s="506"/>
      <c r="N49" s="507">
        <v>0</v>
      </c>
      <c r="O49" s="518">
        <v>0</v>
      </c>
      <c r="P49" s="605">
        <v>0</v>
      </c>
      <c r="Q49" s="608" t="s">
        <v>335</v>
      </c>
      <c r="R49" s="1044"/>
    </row>
    <row r="50" spans="1:18" ht="21" x14ac:dyDescent="0.35">
      <c r="A50" s="594" t="s">
        <v>353</v>
      </c>
      <c r="B50" s="631" t="s">
        <v>354</v>
      </c>
      <c r="C50" s="631" t="s">
        <v>355</v>
      </c>
      <c r="D50" s="631" t="s">
        <v>356</v>
      </c>
      <c r="E50" s="631" t="s">
        <v>357</v>
      </c>
      <c r="F50" s="475">
        <v>2.5</v>
      </c>
      <c r="G50" s="616" t="s">
        <v>82</v>
      </c>
      <c r="H50" s="549" t="s">
        <v>25</v>
      </c>
      <c r="I50" s="531">
        <v>2.5</v>
      </c>
      <c r="J50" s="493">
        <v>6.25E-2</v>
      </c>
      <c r="K50" s="524"/>
      <c r="L50" s="496">
        <v>0</v>
      </c>
      <c r="M50" s="506"/>
      <c r="N50" s="507">
        <v>0</v>
      </c>
      <c r="O50" s="518">
        <v>0</v>
      </c>
      <c r="P50" s="605">
        <v>0</v>
      </c>
      <c r="Q50" s="608" t="s">
        <v>352</v>
      </c>
      <c r="R50" s="1044"/>
    </row>
    <row r="51" spans="1:18" ht="21" x14ac:dyDescent="0.35">
      <c r="A51" s="594" t="s">
        <v>381</v>
      </c>
      <c r="B51" s="631" t="s">
        <v>424</v>
      </c>
      <c r="C51" s="631" t="s">
        <v>425</v>
      </c>
      <c r="D51" s="631"/>
      <c r="E51" s="631"/>
      <c r="F51" s="475">
        <v>3</v>
      </c>
      <c r="G51" s="616" t="s">
        <v>82</v>
      </c>
      <c r="H51" s="548" t="s">
        <v>85</v>
      </c>
      <c r="I51" s="531">
        <v>0.5</v>
      </c>
      <c r="J51" s="493">
        <v>1.2500000000000001E-2</v>
      </c>
      <c r="K51" s="524"/>
      <c r="L51" s="496">
        <v>0</v>
      </c>
      <c r="M51" s="506"/>
      <c r="N51" s="507">
        <v>0</v>
      </c>
      <c r="O51" s="518">
        <v>2.5</v>
      </c>
      <c r="P51" s="605">
        <v>6.25E-2</v>
      </c>
      <c r="Q51" s="608" t="s">
        <v>366</v>
      </c>
      <c r="R51" s="1044"/>
    </row>
    <row r="52" spans="1:18" ht="21" x14ac:dyDescent="0.35">
      <c r="A52" s="594" t="s">
        <v>372</v>
      </c>
      <c r="B52" s="631" t="s">
        <v>359</v>
      </c>
      <c r="C52" s="631" t="s">
        <v>360</v>
      </c>
      <c r="D52" s="631" t="s">
        <v>373</v>
      </c>
      <c r="E52" s="631" t="s">
        <v>374</v>
      </c>
      <c r="F52" s="475">
        <v>5</v>
      </c>
      <c r="G52" s="616" t="s">
        <v>82</v>
      </c>
      <c r="H52" s="548" t="s">
        <v>85</v>
      </c>
      <c r="I52" s="531">
        <v>0.3</v>
      </c>
      <c r="J52" s="493">
        <v>7.4999999999999997E-3</v>
      </c>
      <c r="K52" s="524"/>
      <c r="L52" s="496">
        <v>0</v>
      </c>
      <c r="M52" s="506"/>
      <c r="N52" s="507">
        <v>0</v>
      </c>
      <c r="O52" s="518">
        <v>4.7</v>
      </c>
      <c r="P52" s="605">
        <v>0.11750000000000001</v>
      </c>
      <c r="Q52" s="608" t="s">
        <v>358</v>
      </c>
      <c r="R52" s="1044"/>
    </row>
    <row r="53" spans="1:18" ht="21" x14ac:dyDescent="0.35">
      <c r="A53" s="594" t="s">
        <v>365</v>
      </c>
      <c r="B53" s="631" t="s">
        <v>361</v>
      </c>
      <c r="C53" s="631" t="s">
        <v>362</v>
      </c>
      <c r="D53" s="631" t="s">
        <v>363</v>
      </c>
      <c r="E53" s="631" t="s">
        <v>364</v>
      </c>
      <c r="F53" s="475">
        <v>1</v>
      </c>
      <c r="G53" s="616" t="s">
        <v>82</v>
      </c>
      <c r="H53" s="548" t="s">
        <v>85</v>
      </c>
      <c r="I53" s="531">
        <v>0.4</v>
      </c>
      <c r="J53" s="493">
        <v>0.01</v>
      </c>
      <c r="K53" s="524"/>
      <c r="L53" s="496">
        <v>0</v>
      </c>
      <c r="M53" s="506"/>
      <c r="N53" s="507">
        <v>0</v>
      </c>
      <c r="O53" s="518">
        <v>0.6</v>
      </c>
      <c r="P53" s="605">
        <v>1.4999999999999999E-2</v>
      </c>
      <c r="Q53" s="608" t="s">
        <v>358</v>
      </c>
      <c r="R53" s="1044"/>
    </row>
    <row r="54" spans="1:18" ht="21" x14ac:dyDescent="0.35">
      <c r="A54" s="594" t="s">
        <v>367</v>
      </c>
      <c r="B54" s="631" t="s">
        <v>368</v>
      </c>
      <c r="C54" s="631" t="s">
        <v>369</v>
      </c>
      <c r="D54" s="631" t="s">
        <v>370</v>
      </c>
      <c r="E54" s="631" t="s">
        <v>371</v>
      </c>
      <c r="F54" s="471">
        <v>2</v>
      </c>
      <c r="G54" s="617" t="s">
        <v>23</v>
      </c>
      <c r="H54" s="547" t="s">
        <v>8</v>
      </c>
      <c r="I54" s="532"/>
      <c r="J54" s="481">
        <v>0</v>
      </c>
      <c r="K54" s="483"/>
      <c r="L54" s="484">
        <v>0</v>
      </c>
      <c r="M54" s="500"/>
      <c r="N54" s="501">
        <v>0</v>
      </c>
      <c r="O54" s="470">
        <v>2</v>
      </c>
      <c r="P54" s="600">
        <v>0.05</v>
      </c>
      <c r="Q54" s="608" t="s">
        <v>366</v>
      </c>
      <c r="R54" s="1045"/>
    </row>
    <row r="55" spans="1:18" ht="21" x14ac:dyDescent="0.35">
      <c r="A55" s="594" t="s">
        <v>382</v>
      </c>
      <c r="B55" s="631" t="s">
        <v>426</v>
      </c>
      <c r="C55" s="631" t="s">
        <v>427</v>
      </c>
      <c r="D55" s="631" t="s">
        <v>428</v>
      </c>
      <c r="E55" s="631" t="s">
        <v>429</v>
      </c>
      <c r="F55" s="471">
        <v>3</v>
      </c>
      <c r="G55" s="617" t="s">
        <v>82</v>
      </c>
      <c r="H55" s="548" t="s">
        <v>85</v>
      </c>
      <c r="I55" s="532">
        <v>0.5</v>
      </c>
      <c r="J55" s="481">
        <v>1.2500000000000001E-2</v>
      </c>
      <c r="K55" s="483"/>
      <c r="L55" s="484">
        <v>0</v>
      </c>
      <c r="M55" s="500"/>
      <c r="N55" s="501">
        <v>0</v>
      </c>
      <c r="O55" s="470">
        <v>2.5</v>
      </c>
      <c r="P55" s="600">
        <v>6.25E-2</v>
      </c>
      <c r="Q55" s="608" t="s">
        <v>352</v>
      </c>
      <c r="R55" s="1045"/>
    </row>
    <row r="56" spans="1:18" ht="15" thickBot="1" x14ac:dyDescent="0.4">
      <c r="A56" s="1052" t="s">
        <v>411</v>
      </c>
      <c r="B56" s="1053"/>
      <c r="C56" s="1053"/>
      <c r="D56" s="1053"/>
      <c r="E56" s="1054"/>
      <c r="F56" s="473">
        <f>SUM(F45:F55)</f>
        <v>40</v>
      </c>
      <c r="G56" s="473"/>
      <c r="H56" s="473"/>
      <c r="I56" s="527">
        <f>SUM(I45:I55)</f>
        <v>17.75</v>
      </c>
      <c r="J56" s="528">
        <f>SUM(_xlfn.ANCHORARRAY(J45))</f>
        <v>0.44375000000000003</v>
      </c>
      <c r="K56" s="520">
        <f>SUM(K45:K55)</f>
        <v>5.4</v>
      </c>
      <c r="L56" s="521">
        <f>SUM(_xlfn.ANCHORARRAY(L45))</f>
        <v>0.13500000000000001</v>
      </c>
      <c r="M56" s="502">
        <f>SUM(M45:M55)</f>
        <v>2.5</v>
      </c>
      <c r="N56" s="503">
        <f>SUM(_xlfn.ANCHORARRAY(N45))</f>
        <v>6.25E-2</v>
      </c>
      <c r="O56" s="516">
        <f>SUM(O45:O55)</f>
        <v>14.35</v>
      </c>
      <c r="P56" s="604">
        <f>SUM(_xlfn.ANCHORARRAY(P45))</f>
        <v>0.35875000000000001</v>
      </c>
      <c r="Q56" s="612"/>
      <c r="R56" s="610"/>
    </row>
    <row r="57" spans="1:18" ht="14.5" customHeight="1" x14ac:dyDescent="0.35">
      <c r="A57" s="597" t="s">
        <v>189</v>
      </c>
      <c r="B57" s="631">
        <v>126.83092600000001</v>
      </c>
      <c r="C57" s="631">
        <v>-8.4245789999999996</v>
      </c>
      <c r="D57" s="631">
        <v>126.888716</v>
      </c>
      <c r="E57" s="631">
        <v>-8.4564819999999994</v>
      </c>
      <c r="F57" s="468">
        <v>10</v>
      </c>
      <c r="G57" s="614" t="s">
        <v>145</v>
      </c>
      <c r="H57" s="547" t="s">
        <v>8</v>
      </c>
      <c r="I57" s="529"/>
      <c r="J57" s="530" cm="1">
        <f t="array" ref="J57:J74">I57:I74/F75</f>
        <v>0</v>
      </c>
      <c r="K57" s="522"/>
      <c r="L57" s="523" cm="1">
        <f t="array" ref="L57:L74">K57:K74/F75</f>
        <v>0</v>
      </c>
      <c r="M57" s="504"/>
      <c r="N57" s="505" cm="1">
        <f t="array" ref="N57:N74">M57:M74/F75</f>
        <v>0</v>
      </c>
      <c r="O57" s="517">
        <v>10</v>
      </c>
      <c r="P57" s="603" cm="1">
        <f t="array" ref="P57:P74">O57:O74/F75</f>
        <v>9.9157164105106582E-2</v>
      </c>
      <c r="Q57" s="591" t="s">
        <v>122</v>
      </c>
      <c r="R57" s="1038" t="s">
        <v>44</v>
      </c>
    </row>
    <row r="58" spans="1:18" x14ac:dyDescent="0.35">
      <c r="A58" s="593" t="s">
        <v>206</v>
      </c>
      <c r="B58" s="631">
        <v>126.976018</v>
      </c>
      <c r="C58" s="631">
        <v>-8.3452190000000002</v>
      </c>
      <c r="D58" s="631">
        <v>127.022965</v>
      </c>
      <c r="E58" s="631">
        <v>-8.3686530000000001</v>
      </c>
      <c r="F58" s="468">
        <v>7.5</v>
      </c>
      <c r="G58" s="614" t="s">
        <v>146</v>
      </c>
      <c r="H58" s="547" t="s">
        <v>8</v>
      </c>
      <c r="I58" s="531"/>
      <c r="J58" s="493">
        <v>0</v>
      </c>
      <c r="K58" s="524"/>
      <c r="L58" s="496">
        <v>0</v>
      </c>
      <c r="M58" s="506">
        <v>7.5</v>
      </c>
      <c r="N58" s="507">
        <v>7.4367873078829944E-2</v>
      </c>
      <c r="O58" s="518">
        <v>0</v>
      </c>
      <c r="P58" s="605">
        <v>0</v>
      </c>
      <c r="Q58" s="598" t="s">
        <v>131</v>
      </c>
      <c r="R58" s="1039"/>
    </row>
    <row r="59" spans="1:18" x14ac:dyDescent="0.35">
      <c r="A59" s="597" t="s">
        <v>115</v>
      </c>
      <c r="B59" s="631">
        <v>126.93129999999999</v>
      </c>
      <c r="C59" s="631">
        <v>-8.3599370000000004</v>
      </c>
      <c r="D59" s="631">
        <v>126.976018</v>
      </c>
      <c r="E59" s="631">
        <v>-8.3452190000000002</v>
      </c>
      <c r="F59" s="468">
        <v>7.9</v>
      </c>
      <c r="G59" s="614" t="s">
        <v>24</v>
      </c>
      <c r="H59" s="547" t="s">
        <v>8</v>
      </c>
      <c r="I59" s="531"/>
      <c r="J59" s="493">
        <v>0</v>
      </c>
      <c r="K59" s="524"/>
      <c r="L59" s="496">
        <v>0</v>
      </c>
      <c r="M59" s="506"/>
      <c r="N59" s="507">
        <v>0</v>
      </c>
      <c r="O59" s="518">
        <v>7.9</v>
      </c>
      <c r="P59" s="605">
        <v>7.833415964303421E-2</v>
      </c>
      <c r="Q59" s="591" t="s">
        <v>121</v>
      </c>
      <c r="R59" s="1039"/>
    </row>
    <row r="60" spans="1:18" x14ac:dyDescent="0.35">
      <c r="A60" s="591" t="s">
        <v>105</v>
      </c>
      <c r="B60" s="632">
        <v>126.882902</v>
      </c>
      <c r="C60" s="632">
        <v>-8.4679020000000005</v>
      </c>
      <c r="D60" s="632">
        <v>126.885096</v>
      </c>
      <c r="E60" s="632">
        <v>-8.4903739999999992</v>
      </c>
      <c r="F60" s="468">
        <v>3.5</v>
      </c>
      <c r="G60" s="614" t="s">
        <v>84</v>
      </c>
      <c r="H60" s="547" t="s">
        <v>8</v>
      </c>
      <c r="I60" s="531"/>
      <c r="J60" s="493">
        <v>0</v>
      </c>
      <c r="K60" s="524"/>
      <c r="L60" s="496">
        <v>0</v>
      </c>
      <c r="M60" s="506"/>
      <c r="N60" s="507">
        <v>0</v>
      </c>
      <c r="O60" s="518">
        <v>3.5</v>
      </c>
      <c r="P60" s="605">
        <v>3.4705007436787304E-2</v>
      </c>
      <c r="Q60" s="591" t="s">
        <v>126</v>
      </c>
      <c r="R60" s="1039"/>
    </row>
    <row r="61" spans="1:18" x14ac:dyDescent="0.35">
      <c r="A61" s="591" t="s">
        <v>114</v>
      </c>
      <c r="B61" s="632">
        <v>126.911095</v>
      </c>
      <c r="C61" s="632">
        <v>-8.4023389999999996</v>
      </c>
      <c r="D61" s="632">
        <v>126.93129999999999</v>
      </c>
      <c r="E61" s="632">
        <v>-8.3599370000000004</v>
      </c>
      <c r="F61" s="468">
        <v>5.7</v>
      </c>
      <c r="G61" s="614" t="s">
        <v>24</v>
      </c>
      <c r="H61" s="547" t="s">
        <v>8</v>
      </c>
      <c r="I61" s="531">
        <v>1.73</v>
      </c>
      <c r="J61" s="493">
        <v>1.7154189390183438E-2</v>
      </c>
      <c r="K61" s="524"/>
      <c r="L61" s="496">
        <v>0</v>
      </c>
      <c r="M61" s="506"/>
      <c r="N61" s="507">
        <v>0</v>
      </c>
      <c r="O61" s="518">
        <v>3.97</v>
      </c>
      <c r="P61" s="605">
        <v>3.9365394149727319E-2</v>
      </c>
      <c r="Q61" s="591" t="s">
        <v>134</v>
      </c>
      <c r="R61" s="1039"/>
    </row>
    <row r="62" spans="1:18" x14ac:dyDescent="0.35">
      <c r="A62" s="597" t="s">
        <v>190</v>
      </c>
      <c r="B62" s="631">
        <v>126.848935</v>
      </c>
      <c r="C62" s="631">
        <v>-8.5179659999999995</v>
      </c>
      <c r="D62" s="631">
        <v>126.888716</v>
      </c>
      <c r="E62" s="631">
        <v>-8.4564819999999994</v>
      </c>
      <c r="F62" s="468">
        <v>9</v>
      </c>
      <c r="G62" s="614" t="s">
        <v>135</v>
      </c>
      <c r="H62" s="549" t="s">
        <v>25</v>
      </c>
      <c r="I62" s="531">
        <v>6.21</v>
      </c>
      <c r="J62" s="493">
        <v>6.1576598909271189E-2</v>
      </c>
      <c r="K62" s="524"/>
      <c r="L62" s="496">
        <v>0</v>
      </c>
      <c r="M62" s="506"/>
      <c r="N62" s="507">
        <v>0</v>
      </c>
      <c r="O62" s="518">
        <v>2.79</v>
      </c>
      <c r="P62" s="605">
        <v>2.7664848785324738E-2</v>
      </c>
      <c r="Q62" s="591" t="s">
        <v>132</v>
      </c>
      <c r="R62" s="1039"/>
    </row>
    <row r="63" spans="1:18" x14ac:dyDescent="0.35">
      <c r="A63" s="597" t="s">
        <v>116</v>
      </c>
      <c r="B63" s="631">
        <v>126.918738</v>
      </c>
      <c r="C63" s="631">
        <v>-8.3512190000000004</v>
      </c>
      <c r="D63" s="631">
        <v>126.93129999999999</v>
      </c>
      <c r="E63" s="631">
        <v>-8.3599370000000004</v>
      </c>
      <c r="F63" s="468">
        <v>2.1</v>
      </c>
      <c r="G63" s="614" t="s">
        <v>135</v>
      </c>
      <c r="H63" s="549" t="s">
        <v>25</v>
      </c>
      <c r="I63" s="531">
        <v>2.1</v>
      </c>
      <c r="J63" s="493">
        <v>2.0823004462072383E-2</v>
      </c>
      <c r="K63" s="524"/>
      <c r="L63" s="496">
        <v>0</v>
      </c>
      <c r="M63" s="506"/>
      <c r="N63" s="507">
        <v>0</v>
      </c>
      <c r="O63" s="518">
        <v>0</v>
      </c>
      <c r="P63" s="605">
        <v>0</v>
      </c>
      <c r="Q63" s="591" t="s">
        <v>121</v>
      </c>
      <c r="R63" s="1039"/>
    </row>
    <row r="64" spans="1:18" x14ac:dyDescent="0.35">
      <c r="A64" s="598" t="s">
        <v>192</v>
      </c>
      <c r="B64" s="632" t="s">
        <v>202</v>
      </c>
      <c r="C64" s="632" t="s">
        <v>203</v>
      </c>
      <c r="D64" s="632" t="s">
        <v>204</v>
      </c>
      <c r="E64" s="632" t="s">
        <v>205</v>
      </c>
      <c r="F64" s="468">
        <v>7.25</v>
      </c>
      <c r="G64" s="614" t="s">
        <v>135</v>
      </c>
      <c r="H64" s="549" t="s">
        <v>25</v>
      </c>
      <c r="I64" s="531">
        <v>7.25</v>
      </c>
      <c r="J64" s="493">
        <v>7.1888943976202269E-2</v>
      </c>
      <c r="K64" s="524"/>
      <c r="L64" s="496">
        <v>0</v>
      </c>
      <c r="M64" s="506"/>
      <c r="N64" s="507">
        <v>0</v>
      </c>
      <c r="O64" s="518">
        <v>0</v>
      </c>
      <c r="P64" s="605">
        <v>0</v>
      </c>
      <c r="Q64" s="591" t="s">
        <v>191</v>
      </c>
      <c r="R64" s="1039"/>
    </row>
    <row r="65" spans="1:18" x14ac:dyDescent="0.35">
      <c r="A65" s="598" t="s">
        <v>193</v>
      </c>
      <c r="B65" s="632" t="s">
        <v>204</v>
      </c>
      <c r="C65" s="632" t="s">
        <v>205</v>
      </c>
      <c r="D65" s="632" t="s">
        <v>422</v>
      </c>
      <c r="E65" s="632" t="s">
        <v>423</v>
      </c>
      <c r="F65" s="468">
        <v>10.75</v>
      </c>
      <c r="G65" s="614" t="s">
        <v>84</v>
      </c>
      <c r="H65" s="547" t="s">
        <v>8</v>
      </c>
      <c r="I65" s="531"/>
      <c r="J65" s="493">
        <v>0</v>
      </c>
      <c r="K65" s="524"/>
      <c r="L65" s="496">
        <v>0</v>
      </c>
      <c r="M65" s="506"/>
      <c r="N65" s="507">
        <v>0</v>
      </c>
      <c r="O65" s="518">
        <v>10.75</v>
      </c>
      <c r="P65" s="605">
        <v>0.10659395141298958</v>
      </c>
      <c r="Q65" s="591" t="s">
        <v>191</v>
      </c>
      <c r="R65" s="1039"/>
    </row>
    <row r="66" spans="1:18" x14ac:dyDescent="0.35">
      <c r="A66" s="598" t="s">
        <v>194</v>
      </c>
      <c r="B66" s="632" t="s">
        <v>200</v>
      </c>
      <c r="C66" s="632" t="s">
        <v>201</v>
      </c>
      <c r="D66" s="632"/>
      <c r="E66" s="632"/>
      <c r="F66" s="468">
        <v>10.5</v>
      </c>
      <c r="G66" s="614" t="s">
        <v>195</v>
      </c>
      <c r="H66" s="548" t="s">
        <v>85</v>
      </c>
      <c r="I66" s="531">
        <v>10.5</v>
      </c>
      <c r="J66" s="493">
        <v>0.10411502231036192</v>
      </c>
      <c r="K66" s="524"/>
      <c r="L66" s="496">
        <v>0</v>
      </c>
      <c r="M66" s="506"/>
      <c r="N66" s="507">
        <v>0</v>
      </c>
      <c r="O66" s="518">
        <v>0</v>
      </c>
      <c r="P66" s="605">
        <v>0</v>
      </c>
      <c r="Q66" s="591" t="s">
        <v>191</v>
      </c>
      <c r="R66" s="1039"/>
    </row>
    <row r="67" spans="1:18" x14ac:dyDescent="0.35">
      <c r="A67" s="598" t="s">
        <v>196</v>
      </c>
      <c r="B67" s="632" t="s">
        <v>198</v>
      </c>
      <c r="C67" s="632" t="s">
        <v>199</v>
      </c>
      <c r="D67" s="632" t="s">
        <v>232</v>
      </c>
      <c r="E67" s="632" t="s">
        <v>233</v>
      </c>
      <c r="F67" s="468">
        <v>7.25</v>
      </c>
      <c r="G67" s="614" t="s">
        <v>23</v>
      </c>
      <c r="H67" s="547" t="s">
        <v>8</v>
      </c>
      <c r="I67" s="531"/>
      <c r="J67" s="493">
        <v>0</v>
      </c>
      <c r="K67" s="524"/>
      <c r="L67" s="496">
        <v>0</v>
      </c>
      <c r="M67" s="506"/>
      <c r="N67" s="507">
        <v>0</v>
      </c>
      <c r="O67" s="518">
        <v>7.25</v>
      </c>
      <c r="P67" s="605">
        <v>7.1888943976202269E-2</v>
      </c>
      <c r="Q67" s="591" t="s">
        <v>197</v>
      </c>
      <c r="R67" s="1039"/>
    </row>
    <row r="68" spans="1:18" x14ac:dyDescent="0.35">
      <c r="A68" s="598" t="s">
        <v>218</v>
      </c>
      <c r="B68" s="632" t="s">
        <v>219</v>
      </c>
      <c r="C68" s="632" t="s">
        <v>220</v>
      </c>
      <c r="D68" s="632"/>
      <c r="E68" s="632"/>
      <c r="F68" s="468">
        <v>0.4</v>
      </c>
      <c r="G68" s="614" t="s">
        <v>221</v>
      </c>
      <c r="H68" s="549" t="s">
        <v>25</v>
      </c>
      <c r="I68" s="531">
        <v>0.4</v>
      </c>
      <c r="J68" s="493">
        <v>3.9662865642042635E-3</v>
      </c>
      <c r="K68" s="524"/>
      <c r="L68" s="496">
        <v>0</v>
      </c>
      <c r="M68" s="506"/>
      <c r="N68" s="507">
        <v>0</v>
      </c>
      <c r="O68" s="518">
        <v>0</v>
      </c>
      <c r="P68" s="605">
        <v>0</v>
      </c>
      <c r="Q68" s="591" t="s">
        <v>217</v>
      </c>
      <c r="R68" s="1039"/>
    </row>
    <row r="69" spans="1:18" x14ac:dyDescent="0.35">
      <c r="A69" s="598" t="s">
        <v>212</v>
      </c>
      <c r="B69" s="632" t="s">
        <v>213</v>
      </c>
      <c r="C69" s="632" t="s">
        <v>214</v>
      </c>
      <c r="D69" s="632" t="s">
        <v>215</v>
      </c>
      <c r="E69" s="632" t="s">
        <v>216</v>
      </c>
      <c r="F69" s="468">
        <v>2.5</v>
      </c>
      <c r="G69" s="614" t="s">
        <v>23</v>
      </c>
      <c r="H69" s="547" t="s">
        <v>8</v>
      </c>
      <c r="I69" s="531"/>
      <c r="J69" s="493">
        <v>0</v>
      </c>
      <c r="K69" s="524"/>
      <c r="L69" s="496">
        <v>0</v>
      </c>
      <c r="M69" s="506"/>
      <c r="N69" s="507">
        <v>0</v>
      </c>
      <c r="O69" s="518">
        <v>2.5</v>
      </c>
      <c r="P69" s="605">
        <v>2.4789291026276646E-2</v>
      </c>
      <c r="Q69" s="591" t="s">
        <v>132</v>
      </c>
      <c r="R69" s="1039"/>
    </row>
    <row r="70" spans="1:18" x14ac:dyDescent="0.35">
      <c r="A70" s="598" t="s">
        <v>222</v>
      </c>
      <c r="B70" s="632" t="s">
        <v>228</v>
      </c>
      <c r="C70" s="632" t="s">
        <v>229</v>
      </c>
      <c r="D70" s="632" t="s">
        <v>230</v>
      </c>
      <c r="E70" s="632" t="s">
        <v>231</v>
      </c>
      <c r="F70" s="468">
        <v>1.2</v>
      </c>
      <c r="G70" s="614" t="s">
        <v>84</v>
      </c>
      <c r="H70" s="547" t="s">
        <v>8</v>
      </c>
      <c r="I70" s="531"/>
      <c r="J70" s="493">
        <v>0</v>
      </c>
      <c r="K70" s="524"/>
      <c r="L70" s="496">
        <v>0</v>
      </c>
      <c r="M70" s="506"/>
      <c r="N70" s="507">
        <v>0</v>
      </c>
      <c r="O70" s="518">
        <v>1.2</v>
      </c>
      <c r="P70" s="605">
        <v>1.189885969261279E-2</v>
      </c>
      <c r="Q70" s="591" t="s">
        <v>122</v>
      </c>
      <c r="R70" s="1039"/>
    </row>
    <row r="71" spans="1:18" x14ac:dyDescent="0.35">
      <c r="A71" s="598" t="s">
        <v>207</v>
      </c>
      <c r="B71" s="632" t="s">
        <v>208</v>
      </c>
      <c r="C71" s="632" t="s">
        <v>209</v>
      </c>
      <c r="D71" s="632" t="s">
        <v>210</v>
      </c>
      <c r="E71" s="632" t="s">
        <v>211</v>
      </c>
      <c r="F71" s="468">
        <v>4</v>
      </c>
      <c r="G71" s="614" t="s">
        <v>23</v>
      </c>
      <c r="H71" s="547" t="s">
        <v>8</v>
      </c>
      <c r="I71" s="531"/>
      <c r="J71" s="493">
        <v>0</v>
      </c>
      <c r="K71" s="524"/>
      <c r="L71" s="496">
        <v>0</v>
      </c>
      <c r="M71" s="506"/>
      <c r="N71" s="507">
        <v>0</v>
      </c>
      <c r="O71" s="518">
        <v>4</v>
      </c>
      <c r="P71" s="605">
        <v>3.9662865642042633E-2</v>
      </c>
      <c r="Q71" s="591" t="s">
        <v>156</v>
      </c>
      <c r="R71" s="1039"/>
    </row>
    <row r="72" spans="1:18" x14ac:dyDescent="0.35">
      <c r="A72" s="598" t="s">
        <v>223</v>
      </c>
      <c r="B72" s="632" t="s">
        <v>224</v>
      </c>
      <c r="C72" s="632" t="s">
        <v>225</v>
      </c>
      <c r="D72" s="632" t="s">
        <v>226</v>
      </c>
      <c r="E72" s="632" t="s">
        <v>227</v>
      </c>
      <c r="F72" s="468">
        <v>3</v>
      </c>
      <c r="G72" s="614" t="s">
        <v>195</v>
      </c>
      <c r="H72" s="548" t="s">
        <v>85</v>
      </c>
      <c r="I72" s="531">
        <v>0.25</v>
      </c>
      <c r="J72" s="493">
        <v>2.4789291026276646E-3</v>
      </c>
      <c r="K72" s="524"/>
      <c r="L72" s="496">
        <v>0</v>
      </c>
      <c r="M72" s="506"/>
      <c r="N72" s="507">
        <v>0</v>
      </c>
      <c r="O72" s="518">
        <v>2.75</v>
      </c>
      <c r="P72" s="605">
        <v>2.726822012890431E-2</v>
      </c>
      <c r="Q72" s="591" t="s">
        <v>191</v>
      </c>
      <c r="R72" s="1039"/>
    </row>
    <row r="73" spans="1:18" x14ac:dyDescent="0.35">
      <c r="A73" s="598" t="s">
        <v>384</v>
      </c>
      <c r="B73" s="632" t="s">
        <v>387</v>
      </c>
      <c r="C73" s="632" t="s">
        <v>388</v>
      </c>
      <c r="D73" s="632" t="s">
        <v>385</v>
      </c>
      <c r="E73" s="632" t="s">
        <v>386</v>
      </c>
      <c r="F73" s="468">
        <v>1.3</v>
      </c>
      <c r="G73" s="614" t="s">
        <v>195</v>
      </c>
      <c r="H73" s="548" t="s">
        <v>85</v>
      </c>
      <c r="I73" s="531">
        <v>0.3</v>
      </c>
      <c r="J73" s="493">
        <v>2.9747149231531974E-3</v>
      </c>
      <c r="K73" s="524"/>
      <c r="L73" s="496">
        <v>0</v>
      </c>
      <c r="M73" s="506"/>
      <c r="N73" s="507">
        <v>0</v>
      </c>
      <c r="O73" s="518">
        <v>1</v>
      </c>
      <c r="P73" s="605">
        <v>9.9157164105106582E-3</v>
      </c>
      <c r="Q73" s="591" t="s">
        <v>197</v>
      </c>
      <c r="R73" s="1039"/>
    </row>
    <row r="74" spans="1:18" x14ac:dyDescent="0.35">
      <c r="A74" s="598" t="s">
        <v>383</v>
      </c>
      <c r="B74" s="632" t="s">
        <v>389</v>
      </c>
      <c r="C74" s="632" t="s">
        <v>390</v>
      </c>
      <c r="D74" s="632"/>
      <c r="E74" s="632"/>
      <c r="F74" s="468">
        <v>7</v>
      </c>
      <c r="G74" s="614" t="s">
        <v>23</v>
      </c>
      <c r="H74" s="547" t="s">
        <v>8</v>
      </c>
      <c r="I74" s="531"/>
      <c r="J74" s="493">
        <v>0</v>
      </c>
      <c r="K74" s="524"/>
      <c r="L74" s="496">
        <v>0</v>
      </c>
      <c r="M74" s="506"/>
      <c r="N74" s="507">
        <v>0</v>
      </c>
      <c r="O74" s="518">
        <v>7</v>
      </c>
      <c r="P74" s="605">
        <v>6.9410014873574608E-2</v>
      </c>
      <c r="Q74" s="591" t="s">
        <v>197</v>
      </c>
      <c r="R74" s="1040"/>
    </row>
    <row r="75" spans="1:18" ht="15" thickBot="1" x14ac:dyDescent="0.4">
      <c r="A75" s="1052" t="s">
        <v>412</v>
      </c>
      <c r="B75" s="1053"/>
      <c r="C75" s="1053"/>
      <c r="D75" s="1053"/>
      <c r="E75" s="1054"/>
      <c r="F75" s="473">
        <f>SUM(F57:F74)</f>
        <v>100.85000000000001</v>
      </c>
      <c r="G75" s="473"/>
      <c r="H75" s="473"/>
      <c r="I75" s="527">
        <f>SUM(I57:I74)</f>
        <v>28.74</v>
      </c>
      <c r="J75" s="528">
        <f>SUM(_xlfn.ANCHORARRAY(J57))</f>
        <v>0.28497768963807635</v>
      </c>
      <c r="K75" s="520">
        <f>SUM(K57:K74)</f>
        <v>0</v>
      </c>
      <c r="L75" s="521">
        <f>SUM(_xlfn.ANCHORARRAY(L57))</f>
        <v>0</v>
      </c>
      <c r="M75" s="502">
        <f>SUM(M57:M74)</f>
        <v>7.5</v>
      </c>
      <c r="N75" s="503">
        <f>SUM(_xlfn.ANCHORARRAY(N57))</f>
        <v>7.4367873078829944E-2</v>
      </c>
      <c r="O75" s="516">
        <f>SUM(O57:O74)</f>
        <v>64.61</v>
      </c>
      <c r="P75" s="604">
        <f>SUM(_xlfn.ANCHORARRAY(P57))</f>
        <v>0.64065443728309368</v>
      </c>
      <c r="Q75" s="612"/>
      <c r="R75" s="610"/>
    </row>
    <row r="76" spans="1:18" ht="14.5" customHeight="1" x14ac:dyDescent="0.35">
      <c r="A76" s="593" t="s">
        <v>309</v>
      </c>
      <c r="B76" s="634" t="s">
        <v>311</v>
      </c>
      <c r="C76" s="634" t="s">
        <v>312</v>
      </c>
      <c r="D76" s="634" t="s">
        <v>313</v>
      </c>
      <c r="E76" s="634" t="s">
        <v>314</v>
      </c>
      <c r="F76" s="467">
        <v>5.5</v>
      </c>
      <c r="G76" s="618" t="s">
        <v>302</v>
      </c>
      <c r="H76" s="549" t="s">
        <v>25</v>
      </c>
      <c r="I76" s="533"/>
      <c r="J76" s="530" cm="1">
        <f t="array" ref="J76:J79">I76:I79/F80</f>
        <v>0</v>
      </c>
      <c r="K76" s="483">
        <v>5.5</v>
      </c>
      <c r="L76" s="523" cm="1">
        <f t="array" ref="L76:L79">K76:K79/F80</f>
        <v>0.40740740740740738</v>
      </c>
      <c r="M76" s="508">
        <v>0</v>
      </c>
      <c r="N76" s="505" cm="1">
        <f t="array" ref="N76:N79">M76:M79/F80</f>
        <v>0</v>
      </c>
      <c r="O76" s="517">
        <v>0</v>
      </c>
      <c r="P76" s="603" cm="1">
        <f t="array" ref="P76:P79">O76:O79/F80</f>
        <v>0</v>
      </c>
      <c r="Q76" s="598" t="s">
        <v>310</v>
      </c>
      <c r="R76" s="1038" t="s">
        <v>95</v>
      </c>
    </row>
    <row r="77" spans="1:18" ht="21" x14ac:dyDescent="0.35">
      <c r="A77" s="597" t="s">
        <v>319</v>
      </c>
      <c r="B77" s="631" t="s">
        <v>315</v>
      </c>
      <c r="C77" s="631" t="s">
        <v>316</v>
      </c>
      <c r="D77" s="631" t="s">
        <v>317</v>
      </c>
      <c r="E77" s="631" t="s">
        <v>318</v>
      </c>
      <c r="F77" s="466">
        <v>1.5</v>
      </c>
      <c r="G77" s="619" t="s">
        <v>84</v>
      </c>
      <c r="H77" s="547" t="s">
        <v>8</v>
      </c>
      <c r="I77" s="490"/>
      <c r="J77" s="481">
        <v>0</v>
      </c>
      <c r="K77" s="483"/>
      <c r="L77" s="484">
        <v>0</v>
      </c>
      <c r="M77" s="509"/>
      <c r="N77" s="501">
        <v>0</v>
      </c>
      <c r="O77" s="470">
        <v>1.5</v>
      </c>
      <c r="P77" s="600">
        <v>0.1111111111111111</v>
      </c>
      <c r="Q77" s="591" t="s">
        <v>310</v>
      </c>
      <c r="R77" s="1039"/>
    </row>
    <row r="78" spans="1:18" ht="21" x14ac:dyDescent="0.35">
      <c r="A78" s="592" t="s">
        <v>327</v>
      </c>
      <c r="B78" s="635" t="s">
        <v>323</v>
      </c>
      <c r="C78" s="635" t="s">
        <v>324</v>
      </c>
      <c r="D78" s="635" t="s">
        <v>325</v>
      </c>
      <c r="E78" s="635" t="s">
        <v>326</v>
      </c>
      <c r="F78" s="466">
        <v>1</v>
      </c>
      <c r="G78" s="619" t="s">
        <v>221</v>
      </c>
      <c r="H78" s="549" t="s">
        <v>25</v>
      </c>
      <c r="I78" s="490">
        <v>1</v>
      </c>
      <c r="J78" s="481">
        <v>7.407407407407407E-2</v>
      </c>
      <c r="K78" s="485"/>
      <c r="L78" s="484">
        <v>0</v>
      </c>
      <c r="M78" s="509"/>
      <c r="N78" s="501">
        <v>0</v>
      </c>
      <c r="O78" s="470">
        <v>0</v>
      </c>
      <c r="P78" s="600">
        <v>0</v>
      </c>
      <c r="Q78" s="607" t="s">
        <v>310</v>
      </c>
      <c r="R78" s="1039"/>
    </row>
    <row r="79" spans="1:18" ht="21" x14ac:dyDescent="0.35">
      <c r="A79" s="592" t="s">
        <v>320</v>
      </c>
      <c r="B79" s="635" t="s">
        <v>321</v>
      </c>
      <c r="C79" s="635" t="s">
        <v>322</v>
      </c>
      <c r="D79" s="635" t="s">
        <v>430</v>
      </c>
      <c r="E79" s="635" t="s">
        <v>431</v>
      </c>
      <c r="F79" s="466">
        <v>5.5</v>
      </c>
      <c r="G79" s="619" t="s">
        <v>23</v>
      </c>
      <c r="H79" s="547" t="s">
        <v>8</v>
      </c>
      <c r="I79" s="490"/>
      <c r="J79" s="481">
        <v>0</v>
      </c>
      <c r="K79" s="485"/>
      <c r="L79" s="484">
        <v>0</v>
      </c>
      <c r="M79" s="509"/>
      <c r="N79" s="501">
        <v>0</v>
      </c>
      <c r="O79" s="470">
        <v>5.5</v>
      </c>
      <c r="P79" s="600">
        <v>0.40740740740740738</v>
      </c>
      <c r="Q79" s="607" t="s">
        <v>128</v>
      </c>
      <c r="R79" s="1040"/>
    </row>
    <row r="80" spans="1:18" ht="15" thickBot="1" x14ac:dyDescent="0.4">
      <c r="A80" s="1052" t="s">
        <v>413</v>
      </c>
      <c r="B80" s="1053"/>
      <c r="C80" s="1053"/>
      <c r="D80" s="1053"/>
      <c r="E80" s="1054"/>
      <c r="F80" s="473">
        <f>SUM(F76:F79)</f>
        <v>13.5</v>
      </c>
      <c r="G80" s="473"/>
      <c r="H80" s="473"/>
      <c r="I80" s="527">
        <f>SUM(I76:I79)</f>
        <v>1</v>
      </c>
      <c r="J80" s="528">
        <f>SUM(_xlfn.ANCHORARRAY(J76))</f>
        <v>7.407407407407407E-2</v>
      </c>
      <c r="K80" s="520">
        <f>SUM(K76:K79)</f>
        <v>5.5</v>
      </c>
      <c r="L80" s="521">
        <f>SUM(_xlfn.ANCHORARRAY(L76))</f>
        <v>0.40740740740740738</v>
      </c>
      <c r="M80" s="502">
        <f>SUM(M76:M79)</f>
        <v>0</v>
      </c>
      <c r="N80" s="503">
        <f>SUM(_xlfn.ANCHORARRAY(N76))</f>
        <v>0</v>
      </c>
      <c r="O80" s="516">
        <f>SUM(O76:O79)</f>
        <v>7</v>
      </c>
      <c r="P80" s="604">
        <f>SUM(_xlfn.ANCHORARRAY(P76))</f>
        <v>0.51851851851851849</v>
      </c>
      <c r="Q80" s="612"/>
      <c r="R80" s="610"/>
    </row>
    <row r="81" spans="1:18" x14ac:dyDescent="0.35">
      <c r="A81" s="593" t="s">
        <v>301</v>
      </c>
      <c r="B81" s="479">
        <v>127.255039</v>
      </c>
      <c r="C81" s="479">
        <v>-8.3953900000000008</v>
      </c>
      <c r="D81" s="479">
        <v>127.300624</v>
      </c>
      <c r="E81" s="479">
        <v>-8.4146269999999994</v>
      </c>
      <c r="F81" s="467">
        <v>8</v>
      </c>
      <c r="G81" s="618" t="s">
        <v>302</v>
      </c>
      <c r="H81" s="549" t="s">
        <v>25</v>
      </c>
      <c r="I81" s="529">
        <v>8</v>
      </c>
      <c r="J81" s="530" cm="1">
        <f t="array" ref="J81:J82">I81:I82/F83</f>
        <v>0.49200492004920054</v>
      </c>
      <c r="K81" s="522">
        <v>0</v>
      </c>
      <c r="L81" s="523" cm="1">
        <f t="array" ref="L81:L82">K81:K82/F83</f>
        <v>0</v>
      </c>
      <c r="M81" s="510"/>
      <c r="N81" s="511" cm="1">
        <f t="array" ref="N81:N82">M81:M82/F83</f>
        <v>0</v>
      </c>
      <c r="O81" s="517">
        <v>0</v>
      </c>
      <c r="P81" s="603" cm="1">
        <f t="array" ref="P81:P82">O81:O82/F83</f>
        <v>0</v>
      </c>
      <c r="Q81" s="598" t="s">
        <v>94</v>
      </c>
      <c r="R81" s="1041" t="s">
        <v>94</v>
      </c>
    </row>
    <row r="82" spans="1:18" ht="14.5" customHeight="1" x14ac:dyDescent="0.35">
      <c r="A82" s="597" t="s">
        <v>304</v>
      </c>
      <c r="B82" s="478" t="s">
        <v>305</v>
      </c>
      <c r="C82" s="478" t="s">
        <v>306</v>
      </c>
      <c r="D82" s="478" t="s">
        <v>307</v>
      </c>
      <c r="E82" s="478" t="s">
        <v>308</v>
      </c>
      <c r="F82" s="466">
        <v>8.26</v>
      </c>
      <c r="G82" s="619" t="s">
        <v>84</v>
      </c>
      <c r="H82" s="548" t="s">
        <v>85</v>
      </c>
      <c r="I82" s="532"/>
      <c r="J82" s="481">
        <v>0</v>
      </c>
      <c r="K82" s="483"/>
      <c r="L82" s="484">
        <v>0</v>
      </c>
      <c r="M82" s="500"/>
      <c r="N82" s="501">
        <v>0</v>
      </c>
      <c r="O82" s="470">
        <v>8.26</v>
      </c>
      <c r="P82" s="600">
        <v>0.50799507995079951</v>
      </c>
      <c r="Q82" s="591" t="s">
        <v>303</v>
      </c>
      <c r="R82" s="1042"/>
    </row>
    <row r="83" spans="1:18" x14ac:dyDescent="0.35">
      <c r="A83" s="1049" t="s">
        <v>414</v>
      </c>
      <c r="B83" s="1050"/>
      <c r="C83" s="1050"/>
      <c r="D83" s="1050"/>
      <c r="E83" s="1051"/>
      <c r="F83" s="476">
        <f>SUM(F81:F82)</f>
        <v>16.259999999999998</v>
      </c>
      <c r="G83" s="476"/>
      <c r="H83" s="476"/>
      <c r="I83" s="534">
        <f>SUM(I81:I82)</f>
        <v>8</v>
      </c>
      <c r="J83" s="535">
        <f>SUM(_xlfn.ANCHORARRAY(J81))</f>
        <v>0.49200492004920054</v>
      </c>
      <c r="K83" s="525">
        <f>SUM(K81:K82)</f>
        <v>0</v>
      </c>
      <c r="L83" s="526">
        <f>SUM(_xlfn.ANCHORARRAY(L81))</f>
        <v>0</v>
      </c>
      <c r="M83" s="512">
        <f>SUM(M79:M82)</f>
        <v>0</v>
      </c>
      <c r="N83" s="513">
        <f>SUM(_xlfn.ANCHORARRAY(N81))</f>
        <v>0</v>
      </c>
      <c r="O83" s="519">
        <f>SUM(O81:O82)</f>
        <v>8.26</v>
      </c>
      <c r="P83" s="602">
        <f>SUM(_xlfn.ANCHORARRAY(P81))</f>
        <v>0.50799507995079951</v>
      </c>
      <c r="Q83" s="627"/>
      <c r="R83" s="628"/>
    </row>
    <row r="84" spans="1:18" x14ac:dyDescent="0.35">
      <c r="A84" s="1046" t="s">
        <v>418</v>
      </c>
      <c r="B84" s="1047"/>
      <c r="C84" s="1047"/>
      <c r="D84" s="1047"/>
      <c r="E84" s="1048"/>
      <c r="F84" s="477">
        <f>F22+F33+F56+F75+F80+F83</f>
        <v>286.42599999999999</v>
      </c>
      <c r="G84" s="477"/>
      <c r="H84" s="477"/>
      <c r="I84" s="492">
        <f>I22+I33+I56+I75+I80+I83</f>
        <v>113.08999999999999</v>
      </c>
      <c r="J84" s="491">
        <f>I84/F84</f>
        <v>0.39483147479628244</v>
      </c>
      <c r="K84" s="495">
        <f>K22+K33+K56+K75+K80+K83</f>
        <v>22.200000000000003</v>
      </c>
      <c r="L84" s="494">
        <f>K84/F84</f>
        <v>7.7506930236780194E-2</v>
      </c>
      <c r="M84" s="498">
        <f>M22+M33+M56+M75+M80+M83</f>
        <v>29.39</v>
      </c>
      <c r="N84" s="497">
        <f>M84/F84</f>
        <v>0.10260939998463828</v>
      </c>
      <c r="O84" s="514">
        <f>O22+O33+O56+O75+O80+O83</f>
        <v>121.746</v>
      </c>
      <c r="P84" s="601">
        <f>O84/F84</f>
        <v>0.42505219498229907</v>
      </c>
      <c r="Q84" s="629"/>
      <c r="R84" s="630"/>
    </row>
    <row r="85" spans="1:18" x14ac:dyDescent="0.35">
      <c r="B85" s="463"/>
      <c r="C85" s="463"/>
      <c r="D85" s="463"/>
      <c r="E85" s="463"/>
      <c r="F85" s="464"/>
      <c r="G85" s="464"/>
      <c r="H85" s="464"/>
      <c r="I85" s="464"/>
      <c r="J85" s="464"/>
      <c r="K85" s="464"/>
      <c r="L85" s="464"/>
      <c r="M85" s="464"/>
      <c r="N85" s="464"/>
      <c r="O85" s="464"/>
      <c r="P85" s="464"/>
      <c r="Q85" s="536"/>
      <c r="R85" s="464"/>
    </row>
    <row r="86" spans="1:18" x14ac:dyDescent="0.35">
      <c r="B86" s="463"/>
      <c r="C86" s="463"/>
      <c r="D86" s="463"/>
      <c r="E86" s="463"/>
      <c r="F86" s="464"/>
      <c r="G86" s="464"/>
      <c r="H86" s="464"/>
      <c r="I86" s="464"/>
      <c r="J86" s="464"/>
      <c r="K86" s="464"/>
      <c r="L86" s="464"/>
      <c r="M86" s="464"/>
      <c r="N86" s="464"/>
      <c r="O86" s="464"/>
      <c r="P86" s="464"/>
      <c r="Q86" s="536"/>
      <c r="R86" s="464"/>
    </row>
    <row r="87" spans="1:18" x14ac:dyDescent="0.35">
      <c r="A87" s="463"/>
      <c r="B87" s="463"/>
      <c r="C87" s="463"/>
      <c r="D87" s="463"/>
      <c r="E87" s="463"/>
      <c r="F87" s="464"/>
      <c r="G87" s="464"/>
      <c r="H87" s="464"/>
      <c r="I87" s="464"/>
      <c r="J87" s="464"/>
      <c r="K87" s="464"/>
      <c r="L87" s="464"/>
      <c r="M87" s="464"/>
      <c r="N87" s="464"/>
      <c r="O87" s="464"/>
      <c r="P87" s="464"/>
      <c r="Q87" s="536"/>
      <c r="R87" s="464"/>
    </row>
    <row r="88" spans="1:18" x14ac:dyDescent="0.35">
      <c r="A88" s="463"/>
      <c r="F88" s="464"/>
      <c r="G88" s="464"/>
      <c r="H88" s="464"/>
      <c r="I88" s="464"/>
      <c r="J88" s="464"/>
      <c r="K88" s="464"/>
      <c r="L88" s="464"/>
      <c r="M88" s="464"/>
      <c r="N88" s="464"/>
      <c r="O88" s="464"/>
      <c r="P88" s="464"/>
      <c r="Q88" s="536"/>
      <c r="R88" s="464"/>
    </row>
    <row r="89" spans="1:18" x14ac:dyDescent="0.35">
      <c r="A89" s="463"/>
      <c r="B89" s="465"/>
      <c r="C89" s="465"/>
      <c r="D89" s="465"/>
      <c r="E89" s="465"/>
    </row>
    <row r="91" spans="1:18" x14ac:dyDescent="0.35">
      <c r="A91" s="465"/>
    </row>
  </sheetData>
  <mergeCells count="38">
    <mergeCell ref="A56:E56"/>
    <mergeCell ref="Q2:Q5"/>
    <mergeCell ref="A41:A44"/>
    <mergeCell ref="B41:C43"/>
    <mergeCell ref="D41:E43"/>
    <mergeCell ref="F41:F44"/>
    <mergeCell ref="G41:H41"/>
    <mergeCell ref="I41:J43"/>
    <mergeCell ref="K41:L43"/>
    <mergeCell ref="M41:N43"/>
    <mergeCell ref="O41:P43"/>
    <mergeCell ref="Q41:Q44"/>
    <mergeCell ref="G42:G44"/>
    <mergeCell ref="A33:E33"/>
    <mergeCell ref="A22:E22"/>
    <mergeCell ref="A84:E84"/>
    <mergeCell ref="A83:E83"/>
    <mergeCell ref="A80:E80"/>
    <mergeCell ref="A75:E75"/>
    <mergeCell ref="R57:R74"/>
    <mergeCell ref="R76:R79"/>
    <mergeCell ref="R81:R82"/>
    <mergeCell ref="R45:R55"/>
    <mergeCell ref="R23:R32"/>
    <mergeCell ref="R41:R44"/>
    <mergeCell ref="R6:R21"/>
    <mergeCell ref="F2:F5"/>
    <mergeCell ref="A2:A5"/>
    <mergeCell ref="O2:P4"/>
    <mergeCell ref="M2:N4"/>
    <mergeCell ref="K2:L4"/>
    <mergeCell ref="I2:J4"/>
    <mergeCell ref="R2:R5"/>
    <mergeCell ref="G3:G5"/>
    <mergeCell ref="G2:H2"/>
    <mergeCell ref="D2:E4"/>
    <mergeCell ref="B2:C4"/>
    <mergeCell ref="A1:R1"/>
  </mergeCells>
  <pageMargins left="0.83" right="0.55118110236220474" top="0.56999999999999995" bottom="0.38" header="0.12" footer="0.12"/>
  <pageSetup scale="65" orientation="landscape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Z59"/>
  <sheetViews>
    <sheetView view="pageBreakPreview" topLeftCell="A7" zoomScale="40" zoomScaleNormal="40" zoomScaleSheetLayoutView="40" workbookViewId="0">
      <selection activeCell="E36" sqref="E36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0.26953125" style="1" customWidth="1"/>
    <col min="5" max="5" width="69.54296875" style="1" customWidth="1"/>
    <col min="6" max="9" width="17.36328125" style="1" customWidth="1"/>
    <col min="10" max="10" width="17.453125" style="1" customWidth="1"/>
    <col min="11" max="11" width="29.5429687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7.6328125" style="1" customWidth="1"/>
    <col min="23" max="23" width="15.08984375" style="1" customWidth="1"/>
    <col min="24" max="24" width="13.7265625" style="1" customWidth="1"/>
    <col min="25" max="25" width="18.81640625" style="1" customWidth="1"/>
    <col min="26" max="26" width="13.36328125" style="1" customWidth="1"/>
    <col min="27" max="16384" width="8.81640625" style="1"/>
  </cols>
  <sheetData>
    <row r="1" spans="1:26" ht="93.65" customHeight="1" x14ac:dyDescent="0.3">
      <c r="A1" s="977" t="s">
        <v>252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116" t="s">
        <v>33</v>
      </c>
      <c r="B3" s="1119" t="s">
        <v>167</v>
      </c>
      <c r="C3" s="1122" t="s">
        <v>0</v>
      </c>
      <c r="D3" s="1125" t="s">
        <v>150</v>
      </c>
      <c r="E3" s="1125" t="s">
        <v>2</v>
      </c>
      <c r="F3" s="1125" t="s">
        <v>3</v>
      </c>
      <c r="G3" s="1125"/>
      <c r="H3" s="1125" t="s">
        <v>147</v>
      </c>
      <c r="I3" s="1125"/>
      <c r="J3" s="1128" t="s">
        <v>6</v>
      </c>
      <c r="K3" s="1131" t="s">
        <v>26</v>
      </c>
      <c r="L3" s="1131"/>
      <c r="M3" s="1104" t="s">
        <v>27</v>
      </c>
      <c r="N3" s="1104" t="s">
        <v>28</v>
      </c>
      <c r="O3" s="1107" t="s">
        <v>32</v>
      </c>
      <c r="P3" s="1110" t="s">
        <v>139</v>
      </c>
      <c r="Q3" s="1113" t="s">
        <v>143</v>
      </c>
      <c r="R3" s="1101" t="s">
        <v>148</v>
      </c>
      <c r="S3" s="1131" t="s">
        <v>9</v>
      </c>
      <c r="T3" s="1131"/>
      <c r="U3" s="1133" t="s">
        <v>151</v>
      </c>
      <c r="V3" s="1136" t="s">
        <v>179</v>
      </c>
      <c r="W3" s="1137"/>
      <c r="X3" s="1137"/>
      <c r="Y3" s="1137"/>
      <c r="Z3" s="1138"/>
    </row>
    <row r="4" spans="1:26" ht="42" customHeight="1" thickBot="1" x14ac:dyDescent="0.35">
      <c r="A4" s="1117"/>
      <c r="B4" s="1120"/>
      <c r="C4" s="1123"/>
      <c r="D4" s="1126"/>
      <c r="E4" s="1126"/>
      <c r="F4" s="1126"/>
      <c r="G4" s="1126"/>
      <c r="H4" s="1126"/>
      <c r="I4" s="1126"/>
      <c r="J4" s="1129"/>
      <c r="K4" s="1132"/>
      <c r="L4" s="1132"/>
      <c r="M4" s="1105"/>
      <c r="N4" s="1105"/>
      <c r="O4" s="1108"/>
      <c r="P4" s="1111"/>
      <c r="Q4" s="1114"/>
      <c r="R4" s="1102"/>
      <c r="S4" s="1132"/>
      <c r="T4" s="1132"/>
      <c r="U4" s="1134"/>
      <c r="V4" s="1075" t="s">
        <v>329</v>
      </c>
      <c r="W4" s="1076"/>
      <c r="X4" s="1076"/>
      <c r="Y4" s="1076"/>
      <c r="Z4" s="1077"/>
    </row>
    <row r="5" spans="1:26" ht="30" customHeight="1" x14ac:dyDescent="0.3">
      <c r="A5" s="1117"/>
      <c r="B5" s="1120"/>
      <c r="C5" s="1123"/>
      <c r="D5" s="1126"/>
      <c r="E5" s="1126"/>
      <c r="F5" s="1095" t="s">
        <v>4</v>
      </c>
      <c r="G5" s="1095" t="s">
        <v>5</v>
      </c>
      <c r="H5" s="1095" t="s">
        <v>4</v>
      </c>
      <c r="I5" s="1095" t="s">
        <v>5</v>
      </c>
      <c r="J5" s="1129"/>
      <c r="K5" s="1097" t="s">
        <v>7</v>
      </c>
      <c r="L5" s="758" t="s">
        <v>14</v>
      </c>
      <c r="M5" s="1105"/>
      <c r="N5" s="1105"/>
      <c r="O5" s="1108"/>
      <c r="P5" s="1111"/>
      <c r="Q5" s="1114"/>
      <c r="R5" s="1102"/>
      <c r="S5" s="1099" t="s">
        <v>10</v>
      </c>
      <c r="T5" s="1093" t="s">
        <v>11</v>
      </c>
      <c r="U5" s="1134"/>
      <c r="V5" s="1082" t="s">
        <v>181</v>
      </c>
      <c r="W5" s="1083" t="s">
        <v>182</v>
      </c>
      <c r="X5" s="1083" t="s">
        <v>183</v>
      </c>
      <c r="Y5" s="1080" t="s">
        <v>184</v>
      </c>
      <c r="Z5" s="1078" t="s">
        <v>11</v>
      </c>
    </row>
    <row r="6" spans="1:26" ht="30" customHeight="1" x14ac:dyDescent="0.3">
      <c r="A6" s="1117"/>
      <c r="B6" s="1120"/>
      <c r="C6" s="1123"/>
      <c r="D6" s="1126"/>
      <c r="E6" s="1126"/>
      <c r="F6" s="1095"/>
      <c r="G6" s="1095"/>
      <c r="H6" s="1095"/>
      <c r="I6" s="1095"/>
      <c r="J6" s="1129"/>
      <c r="K6" s="1097"/>
      <c r="L6" s="759" t="s">
        <v>15</v>
      </c>
      <c r="M6" s="1105"/>
      <c r="N6" s="1105"/>
      <c r="O6" s="1108"/>
      <c r="P6" s="1111"/>
      <c r="Q6" s="1114"/>
      <c r="R6" s="1102"/>
      <c r="S6" s="1099"/>
      <c r="T6" s="1093"/>
      <c r="U6" s="1134"/>
      <c r="V6" s="1082"/>
      <c r="W6" s="1083"/>
      <c r="X6" s="1083"/>
      <c r="Y6" s="1080"/>
      <c r="Z6" s="1079"/>
    </row>
    <row r="7" spans="1:26" ht="30" customHeight="1" x14ac:dyDescent="0.3">
      <c r="A7" s="1117"/>
      <c r="B7" s="1120"/>
      <c r="C7" s="1123"/>
      <c r="D7" s="1126"/>
      <c r="E7" s="1126"/>
      <c r="F7" s="1095"/>
      <c r="G7" s="1095"/>
      <c r="H7" s="1095"/>
      <c r="I7" s="1095"/>
      <c r="J7" s="1129"/>
      <c r="K7" s="1097"/>
      <c r="L7" s="760" t="s">
        <v>16</v>
      </c>
      <c r="M7" s="1105"/>
      <c r="N7" s="1105"/>
      <c r="O7" s="1108"/>
      <c r="P7" s="1111"/>
      <c r="Q7" s="1114"/>
      <c r="R7" s="1102"/>
      <c r="S7" s="1099"/>
      <c r="T7" s="1093"/>
      <c r="U7" s="1134"/>
      <c r="V7" s="1084" t="s">
        <v>180</v>
      </c>
      <c r="W7" s="1085" t="s">
        <v>13</v>
      </c>
      <c r="X7" s="1086" t="s">
        <v>13</v>
      </c>
      <c r="Y7" s="1081" t="s">
        <v>13</v>
      </c>
      <c r="Z7" s="1079"/>
    </row>
    <row r="8" spans="1:26" ht="30" customHeight="1" thickBot="1" x14ac:dyDescent="0.35">
      <c r="A8" s="1118"/>
      <c r="B8" s="1121"/>
      <c r="C8" s="1124"/>
      <c r="D8" s="1127"/>
      <c r="E8" s="1127"/>
      <c r="F8" s="1096"/>
      <c r="G8" s="1096"/>
      <c r="H8" s="1096"/>
      <c r="I8" s="1096"/>
      <c r="J8" s="1130"/>
      <c r="K8" s="1098"/>
      <c r="L8" s="761"/>
      <c r="M8" s="1106"/>
      <c r="N8" s="1106"/>
      <c r="O8" s="1109"/>
      <c r="P8" s="1112"/>
      <c r="Q8" s="1115"/>
      <c r="R8" s="1103"/>
      <c r="S8" s="1100"/>
      <c r="T8" s="1094"/>
      <c r="U8" s="1135"/>
      <c r="V8" s="1084"/>
      <c r="W8" s="1085"/>
      <c r="X8" s="1086"/>
      <c r="Y8" s="1081"/>
      <c r="Z8" s="1079"/>
    </row>
    <row r="9" spans="1:26" ht="48.65" hidden="1" customHeight="1" thickBot="1" x14ac:dyDescent="0.35">
      <c r="A9" s="649">
        <v>1</v>
      </c>
      <c r="B9" s="650" t="s">
        <v>35</v>
      </c>
      <c r="C9" s="651" t="s">
        <v>43</v>
      </c>
      <c r="D9" s="651" t="s">
        <v>47</v>
      </c>
      <c r="E9" s="652" t="s">
        <v>63</v>
      </c>
      <c r="F9" s="653"/>
      <c r="G9" s="654"/>
      <c r="H9" s="654"/>
      <c r="I9" s="654"/>
      <c r="J9" s="650">
        <v>7</v>
      </c>
      <c r="K9" s="651" t="s">
        <v>82</v>
      </c>
      <c r="L9" s="655" t="s">
        <v>85</v>
      </c>
      <c r="M9" s="650">
        <f>3376+1819</f>
        <v>5195</v>
      </c>
      <c r="N9" s="650">
        <f>22.73+23.09</f>
        <v>45.82</v>
      </c>
      <c r="O9" s="656">
        <f>(J9*2)+$O$2</f>
        <v>15.57</v>
      </c>
      <c r="P9" s="657">
        <f>(M9/N9)*O9</f>
        <v>1765.3022697512006</v>
      </c>
      <c r="Q9" s="658"/>
      <c r="R9" s="659"/>
      <c r="S9" s="660">
        <v>5000</v>
      </c>
      <c r="T9" s="651"/>
      <c r="U9" s="771"/>
      <c r="V9" s="677"/>
      <c r="W9" s="662"/>
      <c r="X9" s="663" t="e">
        <f>5000*#REF!</f>
        <v>#REF!</v>
      </c>
      <c r="Y9" s="664" t="e">
        <f>5000*#REF!</f>
        <v>#REF!</v>
      </c>
      <c r="Z9" s="584"/>
    </row>
    <row r="10" spans="1:26" ht="48.65" hidden="1" customHeight="1" thickBot="1" x14ac:dyDescent="0.35">
      <c r="A10" s="665">
        <v>2</v>
      </c>
      <c r="B10" s="666" t="s">
        <v>36</v>
      </c>
      <c r="C10" s="667" t="s">
        <v>43</v>
      </c>
      <c r="D10" s="667" t="s">
        <v>48</v>
      </c>
      <c r="E10" s="668" t="s">
        <v>64</v>
      </c>
      <c r="F10" s="669"/>
      <c r="G10" s="669"/>
      <c r="H10" s="669"/>
      <c r="I10" s="669"/>
      <c r="J10" s="662">
        <v>6.5</v>
      </c>
      <c r="K10" s="667" t="s">
        <v>82</v>
      </c>
      <c r="L10" s="670" t="s">
        <v>85</v>
      </c>
      <c r="M10" s="662">
        <f>3376+1819+952</f>
        <v>6147</v>
      </c>
      <c r="N10" s="662">
        <f>22.73+23.09+11.4</f>
        <v>57.22</v>
      </c>
      <c r="O10" s="671">
        <f t="shared" ref="O10:O25" si="0">(J10*2)+$O$2</f>
        <v>14.57</v>
      </c>
      <c r="P10" s="672">
        <f t="shared" ref="P10:P25" si="1">(M10/N10)*O10</f>
        <v>1565.218280321566</v>
      </c>
      <c r="Q10" s="673"/>
      <c r="R10" s="674"/>
      <c r="S10" s="675">
        <v>5000</v>
      </c>
      <c r="T10" s="667"/>
      <c r="U10" s="772"/>
      <c r="V10" s="677"/>
      <c r="W10" s="662"/>
      <c r="X10" s="663" t="e">
        <f>5000*#REF!</f>
        <v>#REF!</v>
      </c>
      <c r="Y10" s="664" t="e">
        <f>5000*#REF!</f>
        <v>#REF!</v>
      </c>
      <c r="Z10" s="584"/>
    </row>
    <row r="11" spans="1:26" ht="48.65" hidden="1" customHeight="1" thickBot="1" x14ac:dyDescent="0.35">
      <c r="A11" s="677">
        <v>3</v>
      </c>
      <c r="B11" s="666" t="s">
        <v>37</v>
      </c>
      <c r="C11" s="667" t="s">
        <v>44</v>
      </c>
      <c r="D11" s="667" t="s">
        <v>49</v>
      </c>
      <c r="E11" s="668" t="s">
        <v>65</v>
      </c>
      <c r="F11" s="669"/>
      <c r="G11" s="669"/>
      <c r="H11" s="669"/>
      <c r="I11" s="669"/>
      <c r="J11" s="662">
        <v>10.5</v>
      </c>
      <c r="K11" s="667" t="s">
        <v>82</v>
      </c>
      <c r="L11" s="670" t="s">
        <v>85</v>
      </c>
      <c r="M11" s="662">
        <v>1077</v>
      </c>
      <c r="N11" s="662">
        <v>42.11</v>
      </c>
      <c r="O11" s="671">
        <f t="shared" si="0"/>
        <v>22.57</v>
      </c>
      <c r="P11" s="672">
        <f t="shared" si="1"/>
        <v>577.24744716219425</v>
      </c>
      <c r="Q11" s="673"/>
      <c r="R11" s="674"/>
      <c r="S11" s="675">
        <v>5000</v>
      </c>
      <c r="T11" s="667"/>
      <c r="U11" s="772"/>
      <c r="V11" s="677"/>
      <c r="W11" s="662"/>
      <c r="X11" s="663" t="e">
        <f>5000*#REF!</f>
        <v>#REF!</v>
      </c>
      <c r="Y11" s="664" t="e">
        <f>5000*#REF!</f>
        <v>#REF!</v>
      </c>
      <c r="Z11" s="584"/>
    </row>
    <row r="12" spans="1:26" ht="48.65" hidden="1" customHeight="1" thickBot="1" x14ac:dyDescent="0.35">
      <c r="A12" s="649">
        <v>4</v>
      </c>
      <c r="B12" s="662" t="s">
        <v>38</v>
      </c>
      <c r="C12" s="667" t="s">
        <v>45</v>
      </c>
      <c r="D12" s="667" t="s">
        <v>50</v>
      </c>
      <c r="E12" s="668" t="s">
        <v>66</v>
      </c>
      <c r="F12" s="669"/>
      <c r="G12" s="669"/>
      <c r="H12" s="669"/>
      <c r="I12" s="669"/>
      <c r="J12" s="662">
        <v>2.5</v>
      </c>
      <c r="K12" s="667" t="s">
        <v>137</v>
      </c>
      <c r="L12" s="678" t="s">
        <v>8</v>
      </c>
      <c r="M12" s="662">
        <f>15935+3078</f>
        <v>19013</v>
      </c>
      <c r="N12" s="662">
        <f>104.77+37.12</f>
        <v>141.88999999999999</v>
      </c>
      <c r="O12" s="671">
        <f t="shared" si="0"/>
        <v>6.57</v>
      </c>
      <c r="P12" s="672">
        <f t="shared" si="1"/>
        <v>880.36796109662419</v>
      </c>
      <c r="Q12" s="673"/>
      <c r="R12" s="674"/>
      <c r="S12" s="675">
        <v>5000</v>
      </c>
      <c r="T12" s="667"/>
      <c r="U12" s="772"/>
      <c r="V12" s="677"/>
      <c r="W12" s="662"/>
      <c r="X12" s="663" t="e">
        <f>5000*#REF!</f>
        <v>#REF!</v>
      </c>
      <c r="Y12" s="664" t="e">
        <f>5000*#REF!</f>
        <v>#REF!</v>
      </c>
      <c r="Z12" s="584"/>
    </row>
    <row r="13" spans="1:26" ht="48.65" hidden="1" customHeight="1" x14ac:dyDescent="0.3">
      <c r="A13" s="665">
        <v>5</v>
      </c>
      <c r="B13" s="662" t="s">
        <v>38</v>
      </c>
      <c r="C13" s="667" t="s">
        <v>45</v>
      </c>
      <c r="D13" s="667" t="s">
        <v>51</v>
      </c>
      <c r="E13" s="668" t="s">
        <v>67</v>
      </c>
      <c r="F13" s="669"/>
      <c r="G13" s="669"/>
      <c r="H13" s="669"/>
      <c r="I13" s="669"/>
      <c r="J13" s="662">
        <v>1</v>
      </c>
      <c r="K13" s="667" t="s">
        <v>83</v>
      </c>
      <c r="L13" s="678" t="s">
        <v>8</v>
      </c>
      <c r="M13" s="662">
        <f>15935+3078</f>
        <v>19013</v>
      </c>
      <c r="N13" s="662">
        <f>104.77+37.12</f>
        <v>141.88999999999999</v>
      </c>
      <c r="O13" s="671">
        <f t="shared" si="0"/>
        <v>3.5700000000000003</v>
      </c>
      <c r="P13" s="672">
        <f t="shared" si="1"/>
        <v>478.37345831277759</v>
      </c>
      <c r="Q13" s="673"/>
      <c r="R13" s="674"/>
      <c r="S13" s="675">
        <v>5000</v>
      </c>
      <c r="T13" s="667"/>
      <c r="U13" s="772"/>
      <c r="V13" s="677"/>
      <c r="W13" s="662"/>
      <c r="X13" s="663" t="e">
        <f>5000*#REF!</f>
        <v>#REF!</v>
      </c>
      <c r="Y13" s="664" t="e">
        <f>5000*#REF!</f>
        <v>#REF!</v>
      </c>
      <c r="Z13" s="584"/>
    </row>
    <row r="14" spans="1:26" ht="48.65" hidden="1" customHeight="1" thickBot="1" x14ac:dyDescent="0.35">
      <c r="A14" s="677">
        <v>6</v>
      </c>
      <c r="B14" s="662" t="s">
        <v>39</v>
      </c>
      <c r="C14" s="667" t="s">
        <v>45</v>
      </c>
      <c r="D14" s="667" t="s">
        <v>52</v>
      </c>
      <c r="E14" s="668" t="s">
        <v>68</v>
      </c>
      <c r="F14" s="669"/>
      <c r="G14" s="669"/>
      <c r="H14" s="669"/>
      <c r="I14" s="669"/>
      <c r="J14" s="662">
        <v>7</v>
      </c>
      <c r="K14" s="667" t="s">
        <v>83</v>
      </c>
      <c r="L14" s="678" t="s">
        <v>8</v>
      </c>
      <c r="M14" s="662">
        <f>15935+2785</f>
        <v>18720</v>
      </c>
      <c r="N14" s="662">
        <f>104.77+76.28</f>
        <v>181.05</v>
      </c>
      <c r="O14" s="671">
        <f t="shared" si="0"/>
        <v>15.57</v>
      </c>
      <c r="P14" s="672">
        <f t="shared" si="1"/>
        <v>1609.8889809444904</v>
      </c>
      <c r="Q14" s="673"/>
      <c r="R14" s="674"/>
      <c r="S14" s="675">
        <v>5000</v>
      </c>
      <c r="T14" s="667"/>
      <c r="U14" s="772"/>
      <c r="V14" s="677"/>
      <c r="W14" s="662"/>
      <c r="X14" s="679"/>
      <c r="Y14" s="664" t="e">
        <f>5000*#REF!</f>
        <v>#REF!</v>
      </c>
      <c r="Z14" s="584"/>
    </row>
    <row r="15" spans="1:26" ht="48.65" hidden="1" customHeight="1" x14ac:dyDescent="0.3">
      <c r="A15" s="649">
        <v>7</v>
      </c>
      <c r="B15" s="662" t="s">
        <v>40</v>
      </c>
      <c r="C15" s="667" t="s">
        <v>45</v>
      </c>
      <c r="D15" s="667" t="s">
        <v>53</v>
      </c>
      <c r="E15" s="668" t="s">
        <v>69</v>
      </c>
      <c r="F15" s="680"/>
      <c r="G15" s="680"/>
      <c r="H15" s="680"/>
      <c r="I15" s="680"/>
      <c r="J15" s="662">
        <v>2.65</v>
      </c>
      <c r="K15" s="667" t="s">
        <v>82</v>
      </c>
      <c r="L15" s="670" t="s">
        <v>85</v>
      </c>
      <c r="M15" s="662">
        <f>1222+4111</f>
        <v>5333</v>
      </c>
      <c r="N15" s="662">
        <f>21.93+43.4</f>
        <v>65.33</v>
      </c>
      <c r="O15" s="671">
        <f t="shared" si="0"/>
        <v>6.87</v>
      </c>
      <c r="P15" s="672">
        <f t="shared" si="1"/>
        <v>560.80988825960503</v>
      </c>
      <c r="Q15" s="673"/>
      <c r="R15" s="674"/>
      <c r="S15" s="675">
        <v>5000</v>
      </c>
      <c r="T15" s="667"/>
      <c r="U15" s="772"/>
      <c r="V15" s="677"/>
      <c r="W15" s="662"/>
      <c r="X15" s="663" t="e">
        <f>5000*#REF!</f>
        <v>#REF!</v>
      </c>
      <c r="Y15" s="664" t="e">
        <f>5000*#REF!</f>
        <v>#REF!</v>
      </c>
      <c r="Z15" s="584"/>
    </row>
    <row r="16" spans="1:26" ht="48.65" hidden="1" customHeight="1" x14ac:dyDescent="0.3">
      <c r="A16" s="665">
        <v>8</v>
      </c>
      <c r="B16" s="662" t="s">
        <v>41</v>
      </c>
      <c r="C16" s="667" t="s">
        <v>46</v>
      </c>
      <c r="D16" s="667" t="s">
        <v>54</v>
      </c>
      <c r="E16" s="668" t="s">
        <v>70</v>
      </c>
      <c r="F16" s="669"/>
      <c r="G16" s="669"/>
      <c r="H16" s="669"/>
      <c r="I16" s="669"/>
      <c r="J16" s="662">
        <v>2.7</v>
      </c>
      <c r="K16" s="667" t="s">
        <v>82</v>
      </c>
      <c r="L16" s="678" t="s">
        <v>8</v>
      </c>
      <c r="M16" s="662">
        <v>2049</v>
      </c>
      <c r="N16" s="662">
        <v>71.5</v>
      </c>
      <c r="O16" s="671">
        <f t="shared" si="0"/>
        <v>6.9700000000000006</v>
      </c>
      <c r="P16" s="672">
        <f t="shared" si="1"/>
        <v>199.74167832167834</v>
      </c>
      <c r="Q16" s="673"/>
      <c r="R16" s="674"/>
      <c r="S16" s="675">
        <v>5000</v>
      </c>
      <c r="T16" s="681"/>
      <c r="U16" s="772"/>
      <c r="V16" s="677"/>
      <c r="W16" s="662"/>
      <c r="X16" s="679"/>
      <c r="Y16" s="664" t="e">
        <f>5000*#REF!</f>
        <v>#REF!</v>
      </c>
      <c r="Z16" s="584"/>
    </row>
    <row r="17" spans="1:26" ht="48.65" hidden="1" customHeight="1" thickBot="1" x14ac:dyDescent="0.35">
      <c r="A17" s="677">
        <v>9</v>
      </c>
      <c r="B17" s="662" t="s">
        <v>41</v>
      </c>
      <c r="C17" s="667" t="s">
        <v>46</v>
      </c>
      <c r="D17" s="667" t="s">
        <v>55</v>
      </c>
      <c r="E17" s="668" t="s">
        <v>71</v>
      </c>
      <c r="F17" s="667"/>
      <c r="G17" s="667"/>
      <c r="H17" s="667"/>
      <c r="I17" s="667"/>
      <c r="J17" s="662">
        <v>2.7</v>
      </c>
      <c r="K17" s="667" t="s">
        <v>82</v>
      </c>
      <c r="L17" s="678" t="s">
        <v>8</v>
      </c>
      <c r="M17" s="662">
        <f>2049+2363</f>
        <v>4412</v>
      </c>
      <c r="N17" s="662">
        <f>71.5+56.75</f>
        <v>128.25</v>
      </c>
      <c r="O17" s="671">
        <f t="shared" si="0"/>
        <v>6.9700000000000006</v>
      </c>
      <c r="P17" s="672">
        <f t="shared" si="1"/>
        <v>239.7788693957115</v>
      </c>
      <c r="Q17" s="673"/>
      <c r="R17" s="674"/>
      <c r="S17" s="675">
        <v>5000</v>
      </c>
      <c r="T17" s="681"/>
      <c r="U17" s="772"/>
      <c r="V17" s="677"/>
      <c r="W17" s="662"/>
      <c r="X17" s="679"/>
      <c r="Y17" s="664" t="e">
        <f>5000*#REF!</f>
        <v>#REF!</v>
      </c>
      <c r="Z17" s="584"/>
    </row>
    <row r="18" spans="1:26" ht="48.65" hidden="1" customHeight="1" x14ac:dyDescent="0.3">
      <c r="A18" s="649">
        <v>10</v>
      </c>
      <c r="B18" s="666" t="s">
        <v>41</v>
      </c>
      <c r="C18" s="667" t="s">
        <v>46</v>
      </c>
      <c r="D18" s="667" t="s">
        <v>55</v>
      </c>
      <c r="E18" s="682" t="s">
        <v>72</v>
      </c>
      <c r="F18" s="669"/>
      <c r="G18" s="669"/>
      <c r="H18" s="669"/>
      <c r="I18" s="669"/>
      <c r="J18" s="662">
        <v>2.2999999999999998</v>
      </c>
      <c r="K18" s="667" t="s">
        <v>82</v>
      </c>
      <c r="L18" s="678" t="s">
        <v>8</v>
      </c>
      <c r="M18" s="662">
        <f>2049+2363</f>
        <v>4412</v>
      </c>
      <c r="N18" s="662">
        <f>71.5+56.75</f>
        <v>128.25</v>
      </c>
      <c r="O18" s="671">
        <f t="shared" si="0"/>
        <v>6.17</v>
      </c>
      <c r="P18" s="672">
        <f t="shared" si="1"/>
        <v>212.25762183235867</v>
      </c>
      <c r="Q18" s="673"/>
      <c r="R18" s="674"/>
      <c r="S18" s="675">
        <v>5000</v>
      </c>
      <c r="T18" s="667"/>
      <c r="U18" s="772"/>
      <c r="V18" s="677"/>
      <c r="W18" s="662"/>
      <c r="X18" s="679"/>
      <c r="Y18" s="664" t="e">
        <f>5000*#REF!</f>
        <v>#REF!</v>
      </c>
      <c r="Z18" s="584"/>
    </row>
    <row r="19" spans="1:26" ht="48.65" hidden="1" customHeight="1" x14ac:dyDescent="0.3">
      <c r="A19" s="665">
        <v>11</v>
      </c>
      <c r="B19" s="662" t="s">
        <v>41</v>
      </c>
      <c r="C19" s="667" t="s">
        <v>46</v>
      </c>
      <c r="D19" s="667" t="s">
        <v>56</v>
      </c>
      <c r="E19" s="683" t="s">
        <v>73</v>
      </c>
      <c r="F19" s="667"/>
      <c r="G19" s="667"/>
      <c r="H19" s="667"/>
      <c r="I19" s="667"/>
      <c r="J19" s="662">
        <v>2</v>
      </c>
      <c r="K19" s="667" t="s">
        <v>82</v>
      </c>
      <c r="L19" s="678" t="s">
        <v>8</v>
      </c>
      <c r="M19" s="662">
        <v>2049</v>
      </c>
      <c r="N19" s="662">
        <v>71.5</v>
      </c>
      <c r="O19" s="671">
        <f t="shared" si="0"/>
        <v>5.57</v>
      </c>
      <c r="P19" s="672">
        <f t="shared" si="1"/>
        <v>159.6213986013986</v>
      </c>
      <c r="Q19" s="673"/>
      <c r="R19" s="674"/>
      <c r="S19" s="675">
        <v>5000</v>
      </c>
      <c r="T19" s="667"/>
      <c r="U19" s="772"/>
      <c r="V19" s="677"/>
      <c r="W19" s="662"/>
      <c r="X19" s="679"/>
      <c r="Y19" s="664" t="e">
        <f>5000*#REF!</f>
        <v>#REF!</v>
      </c>
      <c r="Z19" s="584"/>
    </row>
    <row r="20" spans="1:26" ht="48.65" hidden="1" customHeight="1" thickBot="1" x14ac:dyDescent="0.35">
      <c r="A20" s="677">
        <v>12</v>
      </c>
      <c r="B20" s="684" t="s">
        <v>42</v>
      </c>
      <c r="C20" s="667" t="s">
        <v>45</v>
      </c>
      <c r="D20" s="667" t="s">
        <v>58</v>
      </c>
      <c r="E20" s="685" t="s">
        <v>76</v>
      </c>
      <c r="F20" s="680">
        <v>126.94337899999999</v>
      </c>
      <c r="G20" s="680">
        <v>-8.5426549999999999</v>
      </c>
      <c r="H20" s="680">
        <v>126.93016</v>
      </c>
      <c r="I20" s="680">
        <v>-8.5536960000000004</v>
      </c>
      <c r="J20" s="686">
        <v>2.7</v>
      </c>
      <c r="K20" s="667" t="s">
        <v>82</v>
      </c>
      <c r="L20" s="687" t="s">
        <v>25</v>
      </c>
      <c r="M20" s="688">
        <v>4111</v>
      </c>
      <c r="N20" s="662">
        <v>43.4</v>
      </c>
      <c r="O20" s="671">
        <f t="shared" si="0"/>
        <v>6.9700000000000006</v>
      </c>
      <c r="P20" s="672">
        <f t="shared" si="1"/>
        <v>660.22281105990794</v>
      </c>
      <c r="Q20" s="673"/>
      <c r="R20" s="674"/>
      <c r="S20" s="675">
        <v>5000</v>
      </c>
      <c r="T20" s="667"/>
      <c r="U20" s="773"/>
      <c r="V20" s="779"/>
      <c r="W20" s="689"/>
      <c r="X20" s="663" t="e">
        <f>5000*#REF!</f>
        <v>#REF!</v>
      </c>
      <c r="Y20" s="664" t="e">
        <f>5000*#REF!</f>
        <v>#REF!</v>
      </c>
      <c r="Z20" s="584"/>
    </row>
    <row r="21" spans="1:26" ht="48.65" hidden="1" customHeight="1" x14ac:dyDescent="0.3">
      <c r="A21" s="649">
        <v>13</v>
      </c>
      <c r="B21" s="684" t="s">
        <v>42</v>
      </c>
      <c r="C21" s="667" t="s">
        <v>46</v>
      </c>
      <c r="D21" s="667" t="s">
        <v>59</v>
      </c>
      <c r="E21" s="685" t="s">
        <v>77</v>
      </c>
      <c r="F21" s="669"/>
      <c r="G21" s="669"/>
      <c r="H21" s="669"/>
      <c r="I21" s="669"/>
      <c r="J21" s="686">
        <v>1.7</v>
      </c>
      <c r="K21" s="667" t="s">
        <v>82</v>
      </c>
      <c r="L21" s="687" t="s">
        <v>25</v>
      </c>
      <c r="M21" s="688">
        <f>2049+2363</f>
        <v>4412</v>
      </c>
      <c r="N21" s="662">
        <f>71.5+56.75</f>
        <v>128.25</v>
      </c>
      <c r="O21" s="671">
        <f t="shared" si="0"/>
        <v>4.97</v>
      </c>
      <c r="P21" s="672">
        <f t="shared" si="1"/>
        <v>170.97575048732941</v>
      </c>
      <c r="Q21" s="673"/>
      <c r="R21" s="674"/>
      <c r="S21" s="675">
        <v>5000</v>
      </c>
      <c r="T21" s="667"/>
      <c r="U21" s="773"/>
      <c r="V21" s="779"/>
      <c r="W21" s="689"/>
      <c r="X21" s="663" t="e">
        <f>5000*#REF!</f>
        <v>#REF!</v>
      </c>
      <c r="Y21" s="664" t="e">
        <f>5000*#REF!</f>
        <v>#REF!</v>
      </c>
      <c r="Z21" s="584"/>
    </row>
    <row r="22" spans="1:26" ht="48.65" hidden="1" customHeight="1" x14ac:dyDescent="0.3">
      <c r="A22" s="665">
        <v>14</v>
      </c>
      <c r="B22" s="684" t="s">
        <v>42</v>
      </c>
      <c r="C22" s="667" t="s">
        <v>46</v>
      </c>
      <c r="D22" s="667" t="s">
        <v>60</v>
      </c>
      <c r="E22" s="685" t="s">
        <v>78</v>
      </c>
      <c r="F22" s="669"/>
      <c r="G22" s="669"/>
      <c r="H22" s="669"/>
      <c r="I22" s="669"/>
      <c r="J22" s="686">
        <v>2</v>
      </c>
      <c r="K22" s="667" t="s">
        <v>82</v>
      </c>
      <c r="L22" s="687" t="s">
        <v>25</v>
      </c>
      <c r="M22" s="688">
        <f>2049+2363</f>
        <v>4412</v>
      </c>
      <c r="N22" s="662">
        <f>71.5+56.75</f>
        <v>128.25</v>
      </c>
      <c r="O22" s="671">
        <f t="shared" si="0"/>
        <v>5.57</v>
      </c>
      <c r="P22" s="672">
        <f t="shared" si="1"/>
        <v>191.61668615984405</v>
      </c>
      <c r="Q22" s="673"/>
      <c r="R22" s="674"/>
      <c r="S22" s="675">
        <v>5000</v>
      </c>
      <c r="T22" s="667"/>
      <c r="U22" s="773"/>
      <c r="V22" s="779"/>
      <c r="W22" s="689"/>
      <c r="X22" s="663" t="e">
        <f>5000*#REF!</f>
        <v>#REF!</v>
      </c>
      <c r="Y22" s="664" t="e">
        <f>5000*#REF!</f>
        <v>#REF!</v>
      </c>
      <c r="Z22" s="584"/>
    </row>
    <row r="23" spans="1:26" ht="48.65" hidden="1" customHeight="1" thickBot="1" x14ac:dyDescent="0.35">
      <c r="A23" s="677">
        <v>15</v>
      </c>
      <c r="B23" s="684" t="s">
        <v>42</v>
      </c>
      <c r="C23" s="667" t="s">
        <v>46</v>
      </c>
      <c r="D23" s="667" t="s">
        <v>61</v>
      </c>
      <c r="E23" s="685" t="s">
        <v>79</v>
      </c>
      <c r="F23" s="667"/>
      <c r="G23" s="667"/>
      <c r="H23" s="667"/>
      <c r="I23" s="667"/>
      <c r="J23" s="686">
        <v>2</v>
      </c>
      <c r="K23" s="667" t="s">
        <v>82</v>
      </c>
      <c r="L23" s="687" t="s">
        <v>25</v>
      </c>
      <c r="M23" s="688">
        <v>2049</v>
      </c>
      <c r="N23" s="662">
        <v>71.5</v>
      </c>
      <c r="O23" s="671">
        <f t="shared" si="0"/>
        <v>5.57</v>
      </c>
      <c r="P23" s="672">
        <f t="shared" si="1"/>
        <v>159.6213986013986</v>
      </c>
      <c r="Q23" s="673"/>
      <c r="R23" s="674"/>
      <c r="S23" s="675">
        <v>5000</v>
      </c>
      <c r="T23" s="667"/>
      <c r="U23" s="773"/>
      <c r="V23" s="779"/>
      <c r="W23" s="689"/>
      <c r="X23" s="663" t="e">
        <f>5000*#REF!</f>
        <v>#REF!</v>
      </c>
      <c r="Y23" s="664" t="e">
        <f>5000*#REF!</f>
        <v>#REF!</v>
      </c>
      <c r="Z23" s="584"/>
    </row>
    <row r="24" spans="1:26" ht="48.65" hidden="1" customHeight="1" x14ac:dyDescent="0.3">
      <c r="A24" s="649">
        <v>16</v>
      </c>
      <c r="B24" s="684" t="s">
        <v>42</v>
      </c>
      <c r="C24" s="667" t="s">
        <v>46</v>
      </c>
      <c r="D24" s="667" t="s">
        <v>62</v>
      </c>
      <c r="E24" s="685" t="s">
        <v>80</v>
      </c>
      <c r="F24" s="669"/>
      <c r="G24" s="669"/>
      <c r="H24" s="669"/>
      <c r="I24" s="669"/>
      <c r="J24" s="686">
        <v>2</v>
      </c>
      <c r="K24" s="667" t="s">
        <v>82</v>
      </c>
      <c r="L24" s="687" t="s">
        <v>25</v>
      </c>
      <c r="M24" s="688">
        <v>2049</v>
      </c>
      <c r="N24" s="662">
        <v>71.5</v>
      </c>
      <c r="O24" s="671">
        <f t="shared" si="0"/>
        <v>5.57</v>
      </c>
      <c r="P24" s="672">
        <f t="shared" si="1"/>
        <v>159.6213986013986</v>
      </c>
      <c r="Q24" s="673"/>
      <c r="R24" s="674"/>
      <c r="S24" s="675">
        <v>5000</v>
      </c>
      <c r="T24" s="667"/>
      <c r="U24" s="773"/>
      <c r="V24" s="779"/>
      <c r="W24" s="689"/>
      <c r="X24" s="663" t="e">
        <f>5000*#REF!</f>
        <v>#REF!</v>
      </c>
      <c r="Y24" s="664" t="e">
        <f>5000*#REF!</f>
        <v>#REF!</v>
      </c>
      <c r="Z24" s="584"/>
    </row>
    <row r="25" spans="1:26" ht="48.65" hidden="1" customHeight="1" x14ac:dyDescent="0.3">
      <c r="A25" s="690">
        <v>17</v>
      </c>
      <c r="B25" s="691" t="s">
        <v>42</v>
      </c>
      <c r="C25" s="692" t="s">
        <v>46</v>
      </c>
      <c r="D25" s="692" t="s">
        <v>62</v>
      </c>
      <c r="E25" s="693" t="s">
        <v>81</v>
      </c>
      <c r="F25" s="692"/>
      <c r="G25" s="692"/>
      <c r="H25" s="692"/>
      <c r="I25" s="692"/>
      <c r="J25" s="694">
        <v>2.7</v>
      </c>
      <c r="K25" s="692" t="s">
        <v>82</v>
      </c>
      <c r="L25" s="695" t="s">
        <v>25</v>
      </c>
      <c r="M25" s="696">
        <v>2049</v>
      </c>
      <c r="N25" s="697">
        <v>71.5</v>
      </c>
      <c r="O25" s="698">
        <f t="shared" si="0"/>
        <v>6.9700000000000006</v>
      </c>
      <c r="P25" s="699">
        <f t="shared" si="1"/>
        <v>199.74167832167834</v>
      </c>
      <c r="Q25" s="700"/>
      <c r="R25" s="701"/>
      <c r="S25" s="702">
        <v>5000</v>
      </c>
      <c r="T25" s="692"/>
      <c r="U25" s="774"/>
      <c r="V25" s="780"/>
      <c r="W25" s="704"/>
      <c r="X25" s="705" t="e">
        <f>5000*#REF!</f>
        <v>#REF!</v>
      </c>
      <c r="Y25" s="706" t="e">
        <f>5000*#REF!</f>
        <v>#REF!</v>
      </c>
      <c r="Z25" s="584"/>
    </row>
    <row r="26" spans="1:26" ht="18" customHeight="1" x14ac:dyDescent="0.3">
      <c r="A26" s="707"/>
      <c r="B26" s="708"/>
      <c r="C26" s="709"/>
      <c r="D26" s="709"/>
      <c r="E26" s="709"/>
      <c r="F26" s="709"/>
      <c r="G26" s="709"/>
      <c r="H26" s="709"/>
      <c r="I26" s="709"/>
      <c r="J26" s="710"/>
      <c r="K26" s="709"/>
      <c r="L26" s="711"/>
      <c r="M26" s="712"/>
      <c r="N26" s="712"/>
      <c r="O26" s="712"/>
      <c r="P26" s="713"/>
      <c r="Q26" s="714"/>
      <c r="R26" s="715"/>
      <c r="S26" s="716"/>
      <c r="T26" s="709"/>
      <c r="U26" s="775"/>
      <c r="V26" s="781"/>
      <c r="W26" s="710"/>
      <c r="X26" s="710"/>
      <c r="Y26" s="717"/>
      <c r="Z26" s="585"/>
    </row>
    <row r="27" spans="1:26" ht="46.25" customHeight="1" x14ac:dyDescent="0.3">
      <c r="A27" s="677">
        <v>1</v>
      </c>
      <c r="B27" s="662" t="s">
        <v>38</v>
      </c>
      <c r="C27" s="667" t="s">
        <v>45</v>
      </c>
      <c r="D27" s="667" t="s">
        <v>50</v>
      </c>
      <c r="E27" s="668" t="s">
        <v>235</v>
      </c>
      <c r="F27" s="680" t="s">
        <v>243</v>
      </c>
      <c r="G27" s="680" t="s">
        <v>244</v>
      </c>
      <c r="H27" s="680" t="s">
        <v>245</v>
      </c>
      <c r="I27" s="680" t="s">
        <v>246</v>
      </c>
      <c r="J27" s="718">
        <v>3.5</v>
      </c>
      <c r="K27" s="719" t="s">
        <v>236</v>
      </c>
      <c r="L27" s="720" t="s">
        <v>25</v>
      </c>
      <c r="M27" s="662">
        <f>1819+3376</f>
        <v>5195</v>
      </c>
      <c r="N27" s="662">
        <f>23.18+22.95</f>
        <v>46.129999999999995</v>
      </c>
      <c r="O27" s="668">
        <f t="shared" ref="O27:O37" si="2">(J27*2)+$O$2</f>
        <v>8.57</v>
      </c>
      <c r="P27" s="672">
        <f>(M27/N27)*O27</f>
        <v>965.12356384131817</v>
      </c>
      <c r="Q27" s="721" t="e">
        <f>(P27*R27)/S27</f>
        <v>#DIV/0!</v>
      </c>
      <c r="R27" s="722">
        <v>20</v>
      </c>
      <c r="S27" s="723"/>
      <c r="T27" s="724">
        <f>586662.11+377898.71+388493.24+358697.82</f>
        <v>1711751.8800000001</v>
      </c>
      <c r="U27" s="776">
        <v>1</v>
      </c>
      <c r="V27" s="782">
        <v>3.5</v>
      </c>
      <c r="W27" s="718">
        <f>J27-V27</f>
        <v>0</v>
      </c>
      <c r="X27" s="718"/>
      <c r="Y27" s="726">
        <f>J27-V27-W27-X27</f>
        <v>0</v>
      </c>
      <c r="Z27" s="586">
        <f>SUM(V27:Y27)</f>
        <v>3.5</v>
      </c>
    </row>
    <row r="28" spans="1:26" ht="46.25" customHeight="1" x14ac:dyDescent="0.3">
      <c r="A28" s="677">
        <f>A27+1</f>
        <v>2</v>
      </c>
      <c r="B28" s="662" t="s">
        <v>39</v>
      </c>
      <c r="C28" s="667" t="s">
        <v>45</v>
      </c>
      <c r="D28" s="667" t="s">
        <v>52</v>
      </c>
      <c r="E28" s="668" t="s">
        <v>237</v>
      </c>
      <c r="F28" s="680" t="s">
        <v>239</v>
      </c>
      <c r="G28" s="680" t="s">
        <v>240</v>
      </c>
      <c r="H28" s="680" t="s">
        <v>241</v>
      </c>
      <c r="I28" s="680" t="s">
        <v>242</v>
      </c>
      <c r="J28" s="718">
        <v>19.875</v>
      </c>
      <c r="K28" s="668" t="s">
        <v>238</v>
      </c>
      <c r="L28" s="720" t="s">
        <v>25</v>
      </c>
      <c r="M28" s="662">
        <f>952+1662</f>
        <v>2614</v>
      </c>
      <c r="N28" s="662">
        <f>11.38+16.37</f>
        <v>27.75</v>
      </c>
      <c r="O28" s="668">
        <f t="shared" si="2"/>
        <v>41.32</v>
      </c>
      <c r="P28" s="672">
        <f t="shared" ref="P28:P31" si="3">(M28/N28)*O28</f>
        <v>3892.2695495495495</v>
      </c>
      <c r="Q28" s="727" t="e">
        <f t="shared" ref="Q28:Q31" si="4">(P28*R28)/S28</f>
        <v>#DIV/0!</v>
      </c>
      <c r="R28" s="674">
        <v>20</v>
      </c>
      <c r="S28" s="674"/>
      <c r="T28" s="686"/>
      <c r="U28" s="777">
        <v>3</v>
      </c>
      <c r="V28" s="782">
        <v>7</v>
      </c>
      <c r="W28" s="718">
        <v>9</v>
      </c>
      <c r="X28" s="718">
        <v>3.875</v>
      </c>
      <c r="Y28" s="726">
        <f t="shared" ref="Y28:Y42" si="5">J28-V28-W28-X28</f>
        <v>0</v>
      </c>
      <c r="Z28" s="586">
        <f t="shared" ref="Z28:Z45" si="6">SUM(V28:Y28)</f>
        <v>19.875</v>
      </c>
    </row>
    <row r="29" spans="1:26" ht="46.25" customHeight="1" x14ac:dyDescent="0.3">
      <c r="A29" s="677">
        <f t="shared" ref="A29:A43" si="7">A28+1</f>
        <v>3</v>
      </c>
      <c r="B29" s="662" t="s">
        <v>40</v>
      </c>
      <c r="C29" s="667" t="s">
        <v>45</v>
      </c>
      <c r="D29" s="667" t="s">
        <v>53</v>
      </c>
      <c r="E29" s="668" t="s">
        <v>257</v>
      </c>
      <c r="F29" s="686" t="s">
        <v>247</v>
      </c>
      <c r="G29" s="686" t="s">
        <v>248</v>
      </c>
      <c r="H29" s="686" t="s">
        <v>249</v>
      </c>
      <c r="I29" s="686" t="s">
        <v>250</v>
      </c>
      <c r="J29" s="718">
        <v>3</v>
      </c>
      <c r="K29" s="667" t="s">
        <v>251</v>
      </c>
      <c r="L29" s="720" t="s">
        <v>25</v>
      </c>
      <c r="M29" s="662">
        <f>3376+1819</f>
        <v>5195</v>
      </c>
      <c r="N29" s="662">
        <f>22.73+23.09</f>
        <v>45.82</v>
      </c>
      <c r="O29" s="668">
        <f t="shared" si="2"/>
        <v>7.57</v>
      </c>
      <c r="P29" s="672">
        <f>(M29/N29)*O29</f>
        <v>858.27477084242696</v>
      </c>
      <c r="Q29" s="727" t="e">
        <f>(P29*R29)/S29</f>
        <v>#DIV/0!</v>
      </c>
      <c r="R29" s="674"/>
      <c r="S29" s="674"/>
      <c r="T29" s="686"/>
      <c r="U29" s="777">
        <v>19</v>
      </c>
      <c r="V29" s="782">
        <v>3</v>
      </c>
      <c r="W29" s="718"/>
      <c r="X29" s="725"/>
      <c r="Y29" s="726">
        <f t="shared" si="5"/>
        <v>0</v>
      </c>
      <c r="Z29" s="586">
        <f t="shared" si="6"/>
        <v>3</v>
      </c>
    </row>
    <row r="30" spans="1:26" ht="46.25" customHeight="1" x14ac:dyDescent="0.3">
      <c r="A30" s="677">
        <f t="shared" si="7"/>
        <v>4</v>
      </c>
      <c r="B30" s="684" t="s">
        <v>42</v>
      </c>
      <c r="C30" s="667" t="s">
        <v>45</v>
      </c>
      <c r="D30" s="667" t="s">
        <v>127</v>
      </c>
      <c r="E30" s="667" t="s">
        <v>234</v>
      </c>
      <c r="F30" s="680">
        <v>127.01532400000001</v>
      </c>
      <c r="G30" s="680">
        <v>-8.4430669999999992</v>
      </c>
      <c r="H30" s="680">
        <v>127.03996600000001</v>
      </c>
      <c r="I30" s="680">
        <v>-8.4615939999999998</v>
      </c>
      <c r="J30" s="718">
        <v>4.2</v>
      </c>
      <c r="K30" s="667" t="s">
        <v>195</v>
      </c>
      <c r="L30" s="728" t="s">
        <v>85</v>
      </c>
      <c r="M30" s="662">
        <v>3345</v>
      </c>
      <c r="N30" s="662">
        <v>82.14</v>
      </c>
      <c r="O30" s="668">
        <f t="shared" si="2"/>
        <v>9.9700000000000006</v>
      </c>
      <c r="P30" s="672">
        <f t="shared" si="3"/>
        <v>406.00986121256398</v>
      </c>
      <c r="Q30" s="727" t="e">
        <f t="shared" si="4"/>
        <v>#DIV/0!</v>
      </c>
      <c r="R30" s="674"/>
      <c r="S30" s="674"/>
      <c r="T30" s="686"/>
      <c r="U30" s="778">
        <v>21</v>
      </c>
      <c r="V30" s="782">
        <v>4.2</v>
      </c>
      <c r="W30" s="718"/>
      <c r="X30" s="725"/>
      <c r="Y30" s="726">
        <f t="shared" si="5"/>
        <v>0</v>
      </c>
      <c r="Z30" s="586">
        <f t="shared" si="6"/>
        <v>4.2</v>
      </c>
    </row>
    <row r="31" spans="1:26" ht="46.25" customHeight="1" x14ac:dyDescent="0.3">
      <c r="A31" s="677">
        <f t="shared" si="7"/>
        <v>5</v>
      </c>
      <c r="B31" s="666" t="s">
        <v>93</v>
      </c>
      <c r="C31" s="667" t="s">
        <v>45</v>
      </c>
      <c r="D31" s="667" t="s">
        <v>58</v>
      </c>
      <c r="E31" s="729" t="s">
        <v>119</v>
      </c>
      <c r="F31" s="680">
        <v>126.96513400000001</v>
      </c>
      <c r="G31" s="680">
        <v>-8.5304369999999992</v>
      </c>
      <c r="H31" s="730">
        <v>126.927727</v>
      </c>
      <c r="I31" s="730">
        <v>-8.5332489999999996</v>
      </c>
      <c r="J31" s="731">
        <v>5.8</v>
      </c>
      <c r="K31" s="703" t="s">
        <v>144</v>
      </c>
      <c r="L31" s="720" t="s">
        <v>25</v>
      </c>
      <c r="M31" s="662">
        <v>1989</v>
      </c>
      <c r="N31" s="662">
        <v>119.69</v>
      </c>
      <c r="O31" s="668">
        <f t="shared" si="2"/>
        <v>13.17</v>
      </c>
      <c r="P31" s="732">
        <f t="shared" si="3"/>
        <v>218.85813351157154</v>
      </c>
      <c r="Q31" s="733" t="e">
        <f t="shared" si="4"/>
        <v>#DIV/0!</v>
      </c>
      <c r="R31" s="674"/>
      <c r="S31" s="674"/>
      <c r="T31" s="686"/>
      <c r="U31" s="777">
        <v>22</v>
      </c>
      <c r="V31" s="782">
        <v>5.8</v>
      </c>
      <c r="W31" s="718"/>
      <c r="X31" s="725"/>
      <c r="Y31" s="726">
        <f t="shared" si="5"/>
        <v>0</v>
      </c>
      <c r="Z31" s="586">
        <f t="shared" si="6"/>
        <v>5.8</v>
      </c>
    </row>
    <row r="32" spans="1:26" ht="46.25" customHeight="1" x14ac:dyDescent="0.3">
      <c r="A32" s="677">
        <f t="shared" si="7"/>
        <v>6</v>
      </c>
      <c r="B32" s="662" t="s">
        <v>42</v>
      </c>
      <c r="C32" s="667" t="s">
        <v>45</v>
      </c>
      <c r="D32" s="667" t="s">
        <v>58</v>
      </c>
      <c r="E32" s="668" t="s">
        <v>282</v>
      </c>
      <c r="F32" s="730">
        <v>126.927727</v>
      </c>
      <c r="G32" s="730">
        <v>-8.5332489999999996</v>
      </c>
      <c r="H32" s="680" t="s">
        <v>259</v>
      </c>
      <c r="I32" s="680" t="s">
        <v>260</v>
      </c>
      <c r="J32" s="718">
        <v>5.8</v>
      </c>
      <c r="K32" s="668" t="s">
        <v>238</v>
      </c>
      <c r="L32" s="720" t="s">
        <v>25</v>
      </c>
      <c r="M32" s="662"/>
      <c r="N32" s="662"/>
      <c r="O32" s="668">
        <f t="shared" si="2"/>
        <v>13.17</v>
      </c>
      <c r="P32" s="732"/>
      <c r="Q32" s="733"/>
      <c r="R32" s="674"/>
      <c r="S32" s="674"/>
      <c r="T32" s="686"/>
      <c r="U32" s="777"/>
      <c r="V32" s="782">
        <v>5.8</v>
      </c>
      <c r="W32" s="718"/>
      <c r="X32" s="725"/>
      <c r="Y32" s="726">
        <f t="shared" si="5"/>
        <v>0</v>
      </c>
      <c r="Z32" s="586">
        <f t="shared" si="6"/>
        <v>5.8</v>
      </c>
    </row>
    <row r="33" spans="1:26" ht="46.25" customHeight="1" x14ac:dyDescent="0.3">
      <c r="A33" s="677">
        <f t="shared" si="7"/>
        <v>7</v>
      </c>
      <c r="B33" s="662" t="s">
        <v>42</v>
      </c>
      <c r="C33" s="667" t="s">
        <v>45</v>
      </c>
      <c r="D33" s="667" t="s">
        <v>258</v>
      </c>
      <c r="E33" s="668" t="s">
        <v>261</v>
      </c>
      <c r="F33" s="680" t="s">
        <v>278</v>
      </c>
      <c r="G33" s="680" t="s">
        <v>279</v>
      </c>
      <c r="H33" s="680" t="s">
        <v>280</v>
      </c>
      <c r="I33" s="680" t="s">
        <v>281</v>
      </c>
      <c r="J33" s="718">
        <v>8</v>
      </c>
      <c r="K33" s="668" t="s">
        <v>262</v>
      </c>
      <c r="L33" s="678" t="s">
        <v>8</v>
      </c>
      <c r="M33" s="662"/>
      <c r="N33" s="662"/>
      <c r="O33" s="668">
        <f t="shared" si="2"/>
        <v>17.57</v>
      </c>
      <c r="P33" s="732"/>
      <c r="Q33" s="733"/>
      <c r="R33" s="674"/>
      <c r="S33" s="674"/>
      <c r="T33" s="686"/>
      <c r="U33" s="777"/>
      <c r="V33" s="782"/>
      <c r="W33" s="718"/>
      <c r="X33" s="725">
        <v>4.24</v>
      </c>
      <c r="Y33" s="726">
        <f>J33-V33-W33-X33</f>
        <v>3.76</v>
      </c>
      <c r="Z33" s="586">
        <f t="shared" si="6"/>
        <v>8</v>
      </c>
    </row>
    <row r="34" spans="1:26" ht="46.25" customHeight="1" x14ac:dyDescent="0.3">
      <c r="A34" s="677">
        <f t="shared" si="7"/>
        <v>8</v>
      </c>
      <c r="B34" s="662" t="s">
        <v>42</v>
      </c>
      <c r="C34" s="667" t="s">
        <v>45</v>
      </c>
      <c r="D34" s="667" t="s">
        <v>127</v>
      </c>
      <c r="E34" s="668" t="s">
        <v>268</v>
      </c>
      <c r="F34" s="680" t="s">
        <v>269</v>
      </c>
      <c r="G34" s="680" t="s">
        <v>270</v>
      </c>
      <c r="H34" s="680" t="s">
        <v>271</v>
      </c>
      <c r="I34" s="680" t="s">
        <v>272</v>
      </c>
      <c r="J34" s="718">
        <v>3.2749999999999999</v>
      </c>
      <c r="K34" s="668" t="s">
        <v>84</v>
      </c>
      <c r="L34" s="678" t="s">
        <v>8</v>
      </c>
      <c r="M34" s="662"/>
      <c r="N34" s="662"/>
      <c r="O34" s="668">
        <f t="shared" si="2"/>
        <v>8.1199999999999992</v>
      </c>
      <c r="P34" s="732"/>
      <c r="Q34" s="733"/>
      <c r="R34" s="674"/>
      <c r="S34" s="674"/>
      <c r="T34" s="686"/>
      <c r="U34" s="777"/>
      <c r="V34" s="782"/>
      <c r="W34" s="718"/>
      <c r="X34" s="725">
        <v>3.2749999999999999</v>
      </c>
      <c r="Y34" s="726">
        <f t="shared" si="5"/>
        <v>0</v>
      </c>
      <c r="Z34" s="586">
        <f t="shared" si="6"/>
        <v>3.2749999999999999</v>
      </c>
    </row>
    <row r="35" spans="1:26" ht="46.25" customHeight="1" x14ac:dyDescent="0.3">
      <c r="A35" s="677">
        <f t="shared" si="7"/>
        <v>9</v>
      </c>
      <c r="B35" s="662" t="s">
        <v>42</v>
      </c>
      <c r="C35" s="667" t="s">
        <v>45</v>
      </c>
      <c r="D35" s="667" t="s">
        <v>127</v>
      </c>
      <c r="E35" s="668" t="s">
        <v>273</v>
      </c>
      <c r="F35" s="680" t="s">
        <v>274</v>
      </c>
      <c r="G35" s="680" t="s">
        <v>275</v>
      </c>
      <c r="H35" s="680" t="s">
        <v>276</v>
      </c>
      <c r="I35" s="680" t="s">
        <v>277</v>
      </c>
      <c r="J35" s="718">
        <v>3.7160000000000002</v>
      </c>
      <c r="K35" s="668" t="s">
        <v>84</v>
      </c>
      <c r="L35" s="678" t="s">
        <v>8</v>
      </c>
      <c r="M35" s="662"/>
      <c r="N35" s="662"/>
      <c r="O35" s="668">
        <f t="shared" si="2"/>
        <v>9.0020000000000007</v>
      </c>
      <c r="P35" s="732"/>
      <c r="Q35" s="733"/>
      <c r="R35" s="674"/>
      <c r="S35" s="674"/>
      <c r="T35" s="686"/>
      <c r="U35" s="777"/>
      <c r="V35" s="782"/>
      <c r="W35" s="718"/>
      <c r="X35" s="725"/>
      <c r="Y35" s="726">
        <f>J35-V35-W35-X35</f>
        <v>3.7160000000000002</v>
      </c>
      <c r="Z35" s="586">
        <f t="shared" si="6"/>
        <v>3.7160000000000002</v>
      </c>
    </row>
    <row r="36" spans="1:26" ht="46.25" customHeight="1" x14ac:dyDescent="0.3">
      <c r="A36" s="677">
        <f t="shared" si="7"/>
        <v>10</v>
      </c>
      <c r="B36" s="662" t="s">
        <v>42</v>
      </c>
      <c r="C36" s="667" t="s">
        <v>45</v>
      </c>
      <c r="D36" s="667" t="s">
        <v>283</v>
      </c>
      <c r="E36" s="668" t="s">
        <v>284</v>
      </c>
      <c r="F36" s="680" t="s">
        <v>286</v>
      </c>
      <c r="G36" s="680" t="s">
        <v>287</v>
      </c>
      <c r="H36" s="680" t="s">
        <v>288</v>
      </c>
      <c r="I36" s="680" t="s">
        <v>289</v>
      </c>
      <c r="J36" s="718">
        <v>1.5</v>
      </c>
      <c r="K36" s="668" t="s">
        <v>251</v>
      </c>
      <c r="L36" s="728" t="s">
        <v>85</v>
      </c>
      <c r="M36" s="662"/>
      <c r="N36" s="662"/>
      <c r="O36" s="668">
        <f t="shared" si="2"/>
        <v>4.57</v>
      </c>
      <c r="P36" s="732"/>
      <c r="Q36" s="733"/>
      <c r="R36" s="674"/>
      <c r="S36" s="674"/>
      <c r="T36" s="686"/>
      <c r="U36" s="777"/>
      <c r="V36" s="782"/>
      <c r="W36" s="718"/>
      <c r="X36" s="725"/>
      <c r="Y36" s="726">
        <f>J36-V36-W36-X36</f>
        <v>1.5</v>
      </c>
      <c r="Z36" s="586">
        <f t="shared" si="6"/>
        <v>1.5</v>
      </c>
    </row>
    <row r="37" spans="1:26" ht="46.25" customHeight="1" x14ac:dyDescent="0.3">
      <c r="A37" s="677">
        <f t="shared" si="7"/>
        <v>11</v>
      </c>
      <c r="B37" s="662" t="s">
        <v>169</v>
      </c>
      <c r="C37" s="667" t="s">
        <v>45</v>
      </c>
      <c r="D37" s="667" t="s">
        <v>58</v>
      </c>
      <c r="E37" s="668" t="s">
        <v>285</v>
      </c>
      <c r="F37" s="680" t="s">
        <v>434</v>
      </c>
      <c r="G37" s="680" t="s">
        <v>435</v>
      </c>
      <c r="H37" s="680" t="s">
        <v>436</v>
      </c>
      <c r="I37" s="680" t="s">
        <v>437</v>
      </c>
      <c r="J37" s="718">
        <v>2.2999999999999998</v>
      </c>
      <c r="K37" s="668" t="s">
        <v>251</v>
      </c>
      <c r="L37" s="720" t="s">
        <v>25</v>
      </c>
      <c r="M37" s="662"/>
      <c r="N37" s="662"/>
      <c r="O37" s="668">
        <f t="shared" si="2"/>
        <v>6.17</v>
      </c>
      <c r="P37" s="732"/>
      <c r="Q37" s="733"/>
      <c r="R37" s="674"/>
      <c r="S37" s="674"/>
      <c r="T37" s="686"/>
      <c r="U37" s="777"/>
      <c r="V37" s="782">
        <v>2.2999999999999998</v>
      </c>
      <c r="W37" s="718"/>
      <c r="X37" s="725"/>
      <c r="Y37" s="726">
        <f t="shared" si="5"/>
        <v>0</v>
      </c>
      <c r="Z37" s="586">
        <f t="shared" si="6"/>
        <v>2.2999999999999998</v>
      </c>
    </row>
    <row r="38" spans="1:26" ht="46.25" customHeight="1" x14ac:dyDescent="0.3">
      <c r="A38" s="677">
        <f t="shared" si="7"/>
        <v>12</v>
      </c>
      <c r="B38" s="684" t="s">
        <v>169</v>
      </c>
      <c r="C38" s="667" t="s">
        <v>45</v>
      </c>
      <c r="D38" s="667" t="s">
        <v>58</v>
      </c>
      <c r="E38" s="685" t="s">
        <v>290</v>
      </c>
      <c r="F38" s="686" t="s">
        <v>253</v>
      </c>
      <c r="G38" s="686" t="s">
        <v>254</v>
      </c>
      <c r="H38" s="680" t="s">
        <v>255</v>
      </c>
      <c r="I38" s="680" t="s">
        <v>256</v>
      </c>
      <c r="J38" s="718">
        <v>2.2999999999999998</v>
      </c>
      <c r="K38" s="667" t="s">
        <v>251</v>
      </c>
      <c r="L38" s="720" t="s">
        <v>25</v>
      </c>
      <c r="M38" s="662">
        <v>3450</v>
      </c>
      <c r="N38" s="662">
        <f>43.4</f>
        <v>43.4</v>
      </c>
      <c r="O38" s="668">
        <f t="shared" ref="O38:O42" si="8">(J38*2)+$O$2</f>
        <v>6.17</v>
      </c>
      <c r="P38" s="672">
        <f t="shared" ref="P38" si="9">(M38/N38)*O38</f>
        <v>490.47235023041475</v>
      </c>
      <c r="Q38" s="727" t="e">
        <f t="shared" ref="Q38" si="10">(P38*R38)/S38</f>
        <v>#DIV/0!</v>
      </c>
      <c r="R38" s="674"/>
      <c r="S38" s="701"/>
      <c r="T38" s="686"/>
      <c r="U38" s="777">
        <v>20</v>
      </c>
      <c r="V38" s="782">
        <v>2.2999999999999998</v>
      </c>
      <c r="W38" s="718"/>
      <c r="X38" s="725"/>
      <c r="Y38" s="726">
        <f t="shared" si="5"/>
        <v>0</v>
      </c>
      <c r="Z38" s="586">
        <f t="shared" si="6"/>
        <v>2.2999999999999998</v>
      </c>
    </row>
    <row r="39" spans="1:26" ht="46.25" customHeight="1" x14ac:dyDescent="0.3">
      <c r="A39" s="677">
        <f t="shared" si="7"/>
        <v>13</v>
      </c>
      <c r="B39" s="662" t="s">
        <v>169</v>
      </c>
      <c r="C39" s="667" t="s">
        <v>45</v>
      </c>
      <c r="D39" s="667" t="s">
        <v>58</v>
      </c>
      <c r="E39" s="668" t="s">
        <v>263</v>
      </c>
      <c r="F39" s="680" t="s">
        <v>266</v>
      </c>
      <c r="G39" s="680" t="s">
        <v>267</v>
      </c>
      <c r="H39" s="680" t="s">
        <v>264</v>
      </c>
      <c r="I39" s="680" t="s">
        <v>265</v>
      </c>
      <c r="J39" s="718">
        <v>1</v>
      </c>
      <c r="K39" s="668" t="s">
        <v>251</v>
      </c>
      <c r="L39" s="720" t="s">
        <v>25</v>
      </c>
      <c r="M39" s="662"/>
      <c r="N39" s="662"/>
      <c r="O39" s="668">
        <f t="shared" si="8"/>
        <v>3.5700000000000003</v>
      </c>
      <c r="P39" s="732"/>
      <c r="Q39" s="733"/>
      <c r="R39" s="674"/>
      <c r="S39" s="674"/>
      <c r="T39" s="686"/>
      <c r="U39" s="777"/>
      <c r="V39" s="782">
        <v>1</v>
      </c>
      <c r="W39" s="718"/>
      <c r="X39" s="725"/>
      <c r="Y39" s="726">
        <f t="shared" si="5"/>
        <v>0</v>
      </c>
      <c r="Z39" s="586">
        <f t="shared" si="6"/>
        <v>1</v>
      </c>
    </row>
    <row r="40" spans="1:26" ht="46.25" customHeight="1" x14ac:dyDescent="0.3">
      <c r="A40" s="677">
        <f t="shared" si="7"/>
        <v>14</v>
      </c>
      <c r="B40" s="662" t="s">
        <v>169</v>
      </c>
      <c r="C40" s="667" t="s">
        <v>45</v>
      </c>
      <c r="D40" s="667" t="s">
        <v>296</v>
      </c>
      <c r="E40" s="668" t="s">
        <v>297</v>
      </c>
      <c r="F40" s="680" t="s">
        <v>298</v>
      </c>
      <c r="G40" s="680" t="s">
        <v>299</v>
      </c>
      <c r="H40" s="680" t="s">
        <v>438</v>
      </c>
      <c r="I40" s="680" t="s">
        <v>439</v>
      </c>
      <c r="J40" s="718">
        <v>4.25</v>
      </c>
      <c r="K40" s="668" t="s">
        <v>251</v>
      </c>
      <c r="L40" s="720" t="s">
        <v>25</v>
      </c>
      <c r="M40" s="662"/>
      <c r="N40" s="662"/>
      <c r="O40" s="668">
        <f t="shared" si="8"/>
        <v>10.07</v>
      </c>
      <c r="P40" s="732"/>
      <c r="Q40" s="733"/>
      <c r="R40" s="674"/>
      <c r="S40" s="674"/>
      <c r="T40" s="686"/>
      <c r="U40" s="777"/>
      <c r="V40" s="782">
        <v>4.25</v>
      </c>
      <c r="W40" s="718"/>
      <c r="X40" s="725"/>
      <c r="Y40" s="726">
        <f t="shared" si="5"/>
        <v>0</v>
      </c>
      <c r="Z40" s="586">
        <f t="shared" si="6"/>
        <v>4.25</v>
      </c>
    </row>
    <row r="41" spans="1:26" ht="46.25" customHeight="1" x14ac:dyDescent="0.3">
      <c r="A41" s="677">
        <f t="shared" si="7"/>
        <v>15</v>
      </c>
      <c r="B41" s="662" t="s">
        <v>176</v>
      </c>
      <c r="C41" s="667" t="s">
        <v>45</v>
      </c>
      <c r="D41" s="667" t="s">
        <v>58</v>
      </c>
      <c r="E41" s="668" t="s">
        <v>291</v>
      </c>
      <c r="F41" s="680" t="s">
        <v>292</v>
      </c>
      <c r="G41" s="680" t="s">
        <v>293</v>
      </c>
      <c r="H41" s="680" t="s">
        <v>440</v>
      </c>
      <c r="I41" s="680" t="s">
        <v>441</v>
      </c>
      <c r="J41" s="718">
        <v>1</v>
      </c>
      <c r="K41" s="668" t="s">
        <v>251</v>
      </c>
      <c r="L41" s="728" t="s">
        <v>85</v>
      </c>
      <c r="M41" s="662"/>
      <c r="N41" s="662"/>
      <c r="O41" s="668">
        <f t="shared" si="8"/>
        <v>3.5700000000000003</v>
      </c>
      <c r="P41" s="732"/>
      <c r="Q41" s="733"/>
      <c r="R41" s="674"/>
      <c r="S41" s="674"/>
      <c r="T41" s="686"/>
      <c r="U41" s="777"/>
      <c r="V41" s="782">
        <v>1</v>
      </c>
      <c r="W41" s="718"/>
      <c r="X41" s="725"/>
      <c r="Y41" s="726">
        <f t="shared" si="5"/>
        <v>0</v>
      </c>
      <c r="Z41" s="586">
        <f t="shared" si="6"/>
        <v>1</v>
      </c>
    </row>
    <row r="42" spans="1:26" ht="46.25" customHeight="1" x14ac:dyDescent="0.3">
      <c r="A42" s="677">
        <f t="shared" si="7"/>
        <v>16</v>
      </c>
      <c r="B42" s="662" t="s">
        <v>176</v>
      </c>
      <c r="C42" s="667" t="s">
        <v>45</v>
      </c>
      <c r="D42" s="667" t="s">
        <v>51</v>
      </c>
      <c r="E42" s="668" t="s">
        <v>294</v>
      </c>
      <c r="F42" s="680" t="s">
        <v>245</v>
      </c>
      <c r="G42" s="680" t="s">
        <v>246</v>
      </c>
      <c r="H42" s="680"/>
      <c r="I42" s="680"/>
      <c r="J42" s="718">
        <v>5</v>
      </c>
      <c r="K42" s="668" t="s">
        <v>295</v>
      </c>
      <c r="L42" s="678" t="s">
        <v>8</v>
      </c>
      <c r="M42" s="662"/>
      <c r="N42" s="662"/>
      <c r="O42" s="668">
        <f t="shared" si="8"/>
        <v>11.57</v>
      </c>
      <c r="P42" s="732"/>
      <c r="Q42" s="733"/>
      <c r="R42" s="674"/>
      <c r="S42" s="674"/>
      <c r="T42" s="686"/>
      <c r="U42" s="777"/>
      <c r="V42" s="782"/>
      <c r="W42" s="718"/>
      <c r="X42" s="725"/>
      <c r="Y42" s="726">
        <f t="shared" si="5"/>
        <v>5</v>
      </c>
      <c r="Z42" s="586">
        <f t="shared" si="6"/>
        <v>5</v>
      </c>
    </row>
    <row r="43" spans="1:26" ht="46.25" customHeight="1" thickBot="1" x14ac:dyDescent="0.35">
      <c r="A43" s="677">
        <f t="shared" si="7"/>
        <v>17</v>
      </c>
      <c r="B43" s="662"/>
      <c r="C43" s="667"/>
      <c r="D43" s="667"/>
      <c r="E43" s="668"/>
      <c r="F43" s="680"/>
      <c r="G43" s="680"/>
      <c r="H43" s="680"/>
      <c r="I43" s="680"/>
      <c r="J43" s="718"/>
      <c r="K43" s="668"/>
      <c r="L43" s="697"/>
      <c r="M43" s="697"/>
      <c r="N43" s="697"/>
      <c r="O43" s="703"/>
      <c r="P43" s="785"/>
      <c r="Q43" s="786"/>
      <c r="R43" s="701"/>
      <c r="S43" s="701"/>
      <c r="T43" s="694"/>
      <c r="U43" s="778"/>
      <c r="V43" s="787"/>
      <c r="W43" s="731"/>
      <c r="X43" s="788"/>
      <c r="Y43" s="789"/>
      <c r="Z43" s="587"/>
    </row>
    <row r="44" spans="1:26" ht="28.25" customHeight="1" x14ac:dyDescent="0.3">
      <c r="A44" s="1087" t="s">
        <v>442</v>
      </c>
      <c r="B44" s="1088"/>
      <c r="C44" s="1088"/>
      <c r="D44" s="1088"/>
      <c r="E44" s="1088"/>
      <c r="F44" s="1088"/>
      <c r="G44" s="1088"/>
      <c r="H44" s="1088"/>
      <c r="I44" s="1088"/>
      <c r="J44" s="1088"/>
      <c r="K44" s="1088"/>
      <c r="L44" s="790" t="s">
        <v>185</v>
      </c>
      <c r="M44" s="735">
        <f>SUM(J27:J29)</f>
        <v>26.375</v>
      </c>
      <c r="N44" s="736"/>
      <c r="O44" s="736"/>
      <c r="P44" s="737"/>
      <c r="Q44" s="738"/>
      <c r="R44" s="739"/>
      <c r="S44" s="739"/>
      <c r="T44" s="762"/>
      <c r="U44" s="741"/>
      <c r="V44" s="791">
        <f>SUM(V27:V36)</f>
        <v>29.3</v>
      </c>
      <c r="W44" s="792">
        <f>SUM(W27:W36)</f>
        <v>9</v>
      </c>
      <c r="X44" s="792">
        <f>SUM(X27:X36)</f>
        <v>11.39</v>
      </c>
      <c r="Y44" s="793">
        <f>SUM(Y27:Y36)</f>
        <v>8.9759999999999991</v>
      </c>
      <c r="Z44" s="588">
        <f t="shared" si="6"/>
        <v>58.665999999999997</v>
      </c>
    </row>
    <row r="45" spans="1:26" ht="28.25" customHeight="1" x14ac:dyDescent="0.3">
      <c r="A45" s="1089"/>
      <c r="B45" s="1090"/>
      <c r="C45" s="1090"/>
      <c r="D45" s="1090"/>
      <c r="E45" s="1090"/>
      <c r="F45" s="1090"/>
      <c r="G45" s="1090"/>
      <c r="H45" s="1090"/>
      <c r="I45" s="1090"/>
      <c r="J45" s="1090"/>
      <c r="K45" s="1090"/>
      <c r="L45" s="794" t="s">
        <v>186</v>
      </c>
      <c r="M45" s="743">
        <f>SUM(J30:J43)</f>
        <v>48.140999999999991</v>
      </c>
      <c r="N45" s="744"/>
      <c r="O45" s="744"/>
      <c r="P45" s="745"/>
      <c r="Q45" s="763"/>
      <c r="R45" s="763"/>
      <c r="S45" s="764"/>
      <c r="T45" s="763"/>
      <c r="U45" s="763"/>
      <c r="V45" s="783">
        <f>SUM(V37:V40)</f>
        <v>9.85</v>
      </c>
      <c r="W45" s="765">
        <f>SUM(W37:W40)</f>
        <v>0</v>
      </c>
      <c r="X45" s="765">
        <f>SUM(X37:X40)</f>
        <v>0</v>
      </c>
      <c r="Y45" s="766">
        <f>SUM(Y37:Y40)</f>
        <v>0</v>
      </c>
      <c r="Z45" s="586">
        <f t="shared" si="6"/>
        <v>9.85</v>
      </c>
    </row>
    <row r="46" spans="1:26" ht="28.25" customHeight="1" x14ac:dyDescent="0.3">
      <c r="A46" s="1089"/>
      <c r="B46" s="1090"/>
      <c r="C46" s="1090"/>
      <c r="D46" s="1090"/>
      <c r="E46" s="1090"/>
      <c r="F46" s="1090"/>
      <c r="G46" s="1090"/>
      <c r="H46" s="1090"/>
      <c r="I46" s="1090"/>
      <c r="J46" s="1090"/>
      <c r="K46" s="1090"/>
      <c r="L46" s="794" t="s">
        <v>187</v>
      </c>
      <c r="M46" s="749">
        <v>0</v>
      </c>
      <c r="N46" s="750"/>
      <c r="O46" s="750"/>
      <c r="P46" s="751"/>
      <c r="Q46" s="763"/>
      <c r="R46" s="763"/>
      <c r="S46" s="764"/>
      <c r="T46" s="763"/>
      <c r="U46" s="763"/>
      <c r="V46" s="783">
        <f>SUM(V41:V43)</f>
        <v>1</v>
      </c>
      <c r="W46" s="765">
        <f>SUM(W41:W43)</f>
        <v>0</v>
      </c>
      <c r="X46" s="765">
        <f>SUM(X41:X43)</f>
        <v>0</v>
      </c>
      <c r="Y46" s="766">
        <f>SUM(Y41:Y43)</f>
        <v>5</v>
      </c>
      <c r="Z46" s="586">
        <f>SUM(V46:Y46)</f>
        <v>6</v>
      </c>
    </row>
    <row r="47" spans="1:26" ht="28.25" customHeight="1" thickBot="1" x14ac:dyDescent="0.35">
      <c r="A47" s="1091"/>
      <c r="B47" s="1092"/>
      <c r="C47" s="1092"/>
      <c r="D47" s="1092"/>
      <c r="E47" s="1092"/>
      <c r="F47" s="1092"/>
      <c r="G47" s="1092"/>
      <c r="H47" s="1092"/>
      <c r="I47" s="1092"/>
      <c r="J47" s="1092"/>
      <c r="K47" s="1092"/>
      <c r="L47" s="795" t="s">
        <v>20</v>
      </c>
      <c r="M47" s="752">
        <f>SUM(M44:M46)</f>
        <v>74.515999999999991</v>
      </c>
      <c r="N47" s="753"/>
      <c r="O47" s="753"/>
      <c r="P47" s="754"/>
      <c r="Q47" s="767"/>
      <c r="R47" s="767"/>
      <c r="S47" s="768"/>
      <c r="T47" s="767"/>
      <c r="U47" s="767"/>
      <c r="V47" s="784">
        <f>SUM(V44:V46)</f>
        <v>40.15</v>
      </c>
      <c r="W47" s="769">
        <f t="shared" ref="W47:X47" si="11">SUM(W44:W46)</f>
        <v>9</v>
      </c>
      <c r="X47" s="769">
        <f t="shared" si="11"/>
        <v>11.39</v>
      </c>
      <c r="Y47" s="770">
        <f>SUM(Y44:Y46)</f>
        <v>13.975999999999999</v>
      </c>
      <c r="Z47" s="569">
        <f>SUM(V47:Y47)</f>
        <v>74.515999999999991</v>
      </c>
    </row>
    <row r="48" spans="1:26" ht="20" x14ac:dyDescent="0.4">
      <c r="M48" s="390"/>
    </row>
    <row r="50" spans="5:5" ht="34.25" customHeight="1" x14ac:dyDescent="0.3"/>
    <row r="59" spans="5:5" ht="20" x14ac:dyDescent="0.4">
      <c r="E59" s="381"/>
    </row>
  </sheetData>
  <mergeCells count="37"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  <mergeCell ref="N3:N8"/>
    <mergeCell ref="V3:Z3"/>
    <mergeCell ref="A44:K47"/>
    <mergeCell ref="T5:T8"/>
    <mergeCell ref="H5:H8"/>
    <mergeCell ref="I5:I8"/>
    <mergeCell ref="K5:K8"/>
    <mergeCell ref="S5:S8"/>
    <mergeCell ref="R3:R8"/>
    <mergeCell ref="M3:M8"/>
    <mergeCell ref="O3:O8"/>
    <mergeCell ref="P3:P8"/>
    <mergeCell ref="Q3:Q8"/>
    <mergeCell ref="V4:Z4"/>
    <mergeCell ref="Z5:Z8"/>
    <mergeCell ref="Y5:Y6"/>
    <mergeCell ref="Y7:Y8"/>
    <mergeCell ref="V5:V6"/>
    <mergeCell ref="W5:W6"/>
    <mergeCell ref="X5:X6"/>
    <mergeCell ref="V7:V8"/>
    <mergeCell ref="W7:W8"/>
    <mergeCell ref="X7:X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Z52"/>
  <sheetViews>
    <sheetView view="pageBreakPreview" zoomScale="40" zoomScaleNormal="40" zoomScaleSheetLayoutView="40" workbookViewId="0">
      <selection activeCell="X31" sqref="X3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7.6328125" style="1" customWidth="1"/>
    <col min="23" max="23" width="15.81640625" style="1" customWidth="1"/>
    <col min="24" max="24" width="14.90625" style="1" customWidth="1"/>
    <col min="25" max="25" width="16.26953125" style="1" customWidth="1"/>
    <col min="26" max="27" width="13" style="1" customWidth="1"/>
    <col min="28" max="16384" width="8.81640625" style="1"/>
  </cols>
  <sheetData>
    <row r="1" spans="1:26" ht="93.65" customHeight="1" x14ac:dyDescent="0.3">
      <c r="A1" s="977" t="s">
        <v>175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978" t="s">
        <v>33</v>
      </c>
      <c r="B3" s="981" t="s">
        <v>167</v>
      </c>
      <c r="C3" s="984" t="s">
        <v>0</v>
      </c>
      <c r="D3" s="987" t="s">
        <v>150</v>
      </c>
      <c r="E3" s="987" t="s">
        <v>2</v>
      </c>
      <c r="F3" s="987" t="s">
        <v>3</v>
      </c>
      <c r="G3" s="987"/>
      <c r="H3" s="987" t="s">
        <v>147</v>
      </c>
      <c r="I3" s="987"/>
      <c r="J3" s="963" t="s">
        <v>6</v>
      </c>
      <c r="K3" s="992" t="s">
        <v>26</v>
      </c>
      <c r="L3" s="992"/>
      <c r="M3" s="968" t="s">
        <v>27</v>
      </c>
      <c r="N3" s="968" t="s">
        <v>28</v>
      </c>
      <c r="O3" s="971" t="s">
        <v>32</v>
      </c>
      <c r="P3" s="1150" t="s">
        <v>139</v>
      </c>
      <c r="Q3" s="1153" t="s">
        <v>143</v>
      </c>
      <c r="R3" s="932" t="s">
        <v>148</v>
      </c>
      <c r="S3" s="935" t="s">
        <v>9</v>
      </c>
      <c r="T3" s="935"/>
      <c r="U3" s="1147" t="s">
        <v>151</v>
      </c>
      <c r="V3" s="1142" t="s">
        <v>179</v>
      </c>
      <c r="W3" s="1143"/>
      <c r="X3" s="1143"/>
      <c r="Y3" s="1143"/>
      <c r="Z3" s="1144"/>
    </row>
    <row r="4" spans="1:26" ht="42" customHeight="1" x14ac:dyDescent="0.3">
      <c r="A4" s="979"/>
      <c r="B4" s="982"/>
      <c r="C4" s="985"/>
      <c r="D4" s="988"/>
      <c r="E4" s="988"/>
      <c r="F4" s="988"/>
      <c r="G4" s="988"/>
      <c r="H4" s="988"/>
      <c r="I4" s="988"/>
      <c r="J4" s="964"/>
      <c r="K4" s="993"/>
      <c r="L4" s="993"/>
      <c r="M4" s="969"/>
      <c r="N4" s="969"/>
      <c r="O4" s="972"/>
      <c r="P4" s="1151"/>
      <c r="Q4" s="1154"/>
      <c r="R4" s="933"/>
      <c r="S4" s="936"/>
      <c r="T4" s="936"/>
      <c r="U4" s="1148"/>
      <c r="V4" s="1139" t="s">
        <v>329</v>
      </c>
      <c r="W4" s="1140"/>
      <c r="X4" s="1140"/>
      <c r="Y4" s="1140"/>
      <c r="Z4" s="1141"/>
    </row>
    <row r="5" spans="1:26" ht="30" customHeight="1" x14ac:dyDescent="0.45">
      <c r="A5" s="979"/>
      <c r="B5" s="982"/>
      <c r="C5" s="985"/>
      <c r="D5" s="988"/>
      <c r="E5" s="988"/>
      <c r="F5" s="990" t="s">
        <v>4</v>
      </c>
      <c r="G5" s="990" t="s">
        <v>5</v>
      </c>
      <c r="H5" s="990" t="s">
        <v>4</v>
      </c>
      <c r="I5" s="990" t="s">
        <v>5</v>
      </c>
      <c r="J5" s="964"/>
      <c r="K5" s="966" t="s">
        <v>7</v>
      </c>
      <c r="L5" s="212" t="s">
        <v>14</v>
      </c>
      <c r="M5" s="969"/>
      <c r="N5" s="969"/>
      <c r="O5" s="972"/>
      <c r="P5" s="1151"/>
      <c r="Q5" s="1154"/>
      <c r="R5" s="933"/>
      <c r="S5" s="941" t="s">
        <v>10</v>
      </c>
      <c r="T5" s="943" t="s">
        <v>11</v>
      </c>
      <c r="U5" s="1148"/>
      <c r="V5" s="1156" t="s">
        <v>181</v>
      </c>
      <c r="W5" s="945" t="s">
        <v>182</v>
      </c>
      <c r="X5" s="945" t="s">
        <v>183</v>
      </c>
      <c r="Y5" s="945" t="s">
        <v>184</v>
      </c>
      <c r="Z5" s="1145" t="s">
        <v>11</v>
      </c>
    </row>
    <row r="6" spans="1:26" ht="30" customHeight="1" x14ac:dyDescent="0.45">
      <c r="A6" s="979"/>
      <c r="B6" s="982"/>
      <c r="C6" s="985"/>
      <c r="D6" s="988"/>
      <c r="E6" s="988"/>
      <c r="F6" s="990"/>
      <c r="G6" s="990"/>
      <c r="H6" s="990"/>
      <c r="I6" s="990"/>
      <c r="J6" s="964"/>
      <c r="K6" s="966"/>
      <c r="L6" s="213" t="s">
        <v>15</v>
      </c>
      <c r="M6" s="969"/>
      <c r="N6" s="969"/>
      <c r="O6" s="972"/>
      <c r="P6" s="1151"/>
      <c r="Q6" s="1154"/>
      <c r="R6" s="933"/>
      <c r="S6" s="941"/>
      <c r="T6" s="943"/>
      <c r="U6" s="1148"/>
      <c r="V6" s="1157"/>
      <c r="W6" s="947"/>
      <c r="X6" s="947"/>
      <c r="Y6" s="947"/>
      <c r="Z6" s="1146"/>
    </row>
    <row r="7" spans="1:26" ht="30" customHeight="1" x14ac:dyDescent="0.45">
      <c r="A7" s="979"/>
      <c r="B7" s="982"/>
      <c r="C7" s="985"/>
      <c r="D7" s="988"/>
      <c r="E7" s="988"/>
      <c r="F7" s="990"/>
      <c r="G7" s="990"/>
      <c r="H7" s="990"/>
      <c r="I7" s="990"/>
      <c r="J7" s="964"/>
      <c r="K7" s="966"/>
      <c r="L7" s="214" t="s">
        <v>16</v>
      </c>
      <c r="M7" s="969"/>
      <c r="N7" s="969"/>
      <c r="O7" s="972"/>
      <c r="P7" s="1151"/>
      <c r="Q7" s="1154"/>
      <c r="R7" s="933"/>
      <c r="S7" s="941"/>
      <c r="T7" s="943"/>
      <c r="U7" s="1148"/>
      <c r="V7" s="1158" t="s">
        <v>180</v>
      </c>
      <c r="W7" s="957" t="s">
        <v>13</v>
      </c>
      <c r="X7" s="917" t="s">
        <v>13</v>
      </c>
      <c r="Y7" s="921" t="s">
        <v>13</v>
      </c>
      <c r="Z7" s="1146"/>
    </row>
    <row r="8" spans="1:26" ht="30" customHeight="1" thickBot="1" x14ac:dyDescent="0.5">
      <c r="A8" s="980"/>
      <c r="B8" s="983"/>
      <c r="C8" s="986"/>
      <c r="D8" s="989"/>
      <c r="E8" s="989"/>
      <c r="F8" s="991"/>
      <c r="G8" s="991"/>
      <c r="H8" s="991"/>
      <c r="I8" s="991"/>
      <c r="J8" s="965"/>
      <c r="K8" s="967"/>
      <c r="L8" s="410"/>
      <c r="M8" s="970"/>
      <c r="N8" s="970"/>
      <c r="O8" s="973"/>
      <c r="P8" s="1152"/>
      <c r="Q8" s="1155"/>
      <c r="R8" s="934"/>
      <c r="S8" s="942"/>
      <c r="T8" s="944"/>
      <c r="U8" s="1149"/>
      <c r="V8" s="1159"/>
      <c r="W8" s="958"/>
      <c r="X8" s="918"/>
      <c r="Y8" s="922"/>
      <c r="Z8" s="1146"/>
    </row>
    <row r="9" spans="1:26" ht="48.65" hidden="1" customHeight="1" thickBot="1" x14ac:dyDescent="0.3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403">
        <f>(M9/N9)*O9</f>
        <v>1765.3022697512006</v>
      </c>
      <c r="Q9" s="397"/>
      <c r="R9" s="227"/>
      <c r="S9" s="228">
        <v>5000</v>
      </c>
      <c r="T9" s="221"/>
      <c r="U9" s="796"/>
      <c r="V9" s="263"/>
      <c r="W9" s="220"/>
      <c r="X9" s="231" t="e">
        <f>5000*#REF!</f>
        <v>#REF!</v>
      </c>
      <c r="Y9" s="554" t="e">
        <f>5000*#REF!</f>
        <v>#REF!</v>
      </c>
      <c r="Z9" s="563"/>
    </row>
    <row r="10" spans="1:26" ht="48.65" hidden="1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0">(J10*2)+$O$2</f>
        <v>14.57</v>
      </c>
      <c r="P10" s="404">
        <f t="shared" ref="P10:P25" si="1">(M10/N10)*O10</f>
        <v>1565.218280321566</v>
      </c>
      <c r="Q10" s="398"/>
      <c r="R10" s="149"/>
      <c r="S10" s="136">
        <v>5000</v>
      </c>
      <c r="T10" s="142"/>
      <c r="U10" s="797"/>
      <c r="V10" s="155"/>
      <c r="W10" s="145"/>
      <c r="X10" s="138" t="e">
        <f>5000*#REF!</f>
        <v>#REF!</v>
      </c>
      <c r="Y10" s="554" t="e">
        <f>5000*#REF!</f>
        <v>#REF!</v>
      </c>
      <c r="Z10" s="563"/>
    </row>
    <row r="11" spans="1:26" ht="48.65" hidden="1" customHeight="1" thickBot="1" x14ac:dyDescent="0.3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0"/>
        <v>22.57</v>
      </c>
      <c r="P11" s="404">
        <f t="shared" si="1"/>
        <v>577.24744716219425</v>
      </c>
      <c r="Q11" s="398"/>
      <c r="R11" s="149"/>
      <c r="S11" s="136">
        <v>5000</v>
      </c>
      <c r="T11" s="142"/>
      <c r="U11" s="797"/>
      <c r="V11" s="155"/>
      <c r="W11" s="145"/>
      <c r="X11" s="138" t="e">
        <f>5000*#REF!</f>
        <v>#REF!</v>
      </c>
      <c r="Y11" s="554" t="e">
        <f>5000*#REF!</f>
        <v>#REF!</v>
      </c>
      <c r="Z11" s="563"/>
    </row>
    <row r="12" spans="1:26" ht="48.65" hidden="1" customHeight="1" thickBot="1" x14ac:dyDescent="0.3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0"/>
        <v>6.57</v>
      </c>
      <c r="P12" s="404">
        <f t="shared" si="1"/>
        <v>880.36796109662419</v>
      </c>
      <c r="Q12" s="398"/>
      <c r="R12" s="149"/>
      <c r="S12" s="136">
        <v>5000</v>
      </c>
      <c r="T12" s="142"/>
      <c r="U12" s="797"/>
      <c r="V12" s="155"/>
      <c r="W12" s="145"/>
      <c r="X12" s="138" t="e">
        <f>5000*#REF!</f>
        <v>#REF!</v>
      </c>
      <c r="Y12" s="554" t="e">
        <f>5000*#REF!</f>
        <v>#REF!</v>
      </c>
      <c r="Z12" s="563"/>
    </row>
    <row r="13" spans="1:26" ht="48.65" hidden="1" customHeight="1" x14ac:dyDescent="0.3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0"/>
        <v>3.5700000000000003</v>
      </c>
      <c r="P13" s="404">
        <f t="shared" si="1"/>
        <v>478.37345831277759</v>
      </c>
      <c r="Q13" s="398"/>
      <c r="R13" s="149"/>
      <c r="S13" s="136">
        <v>5000</v>
      </c>
      <c r="T13" s="142"/>
      <c r="U13" s="797"/>
      <c r="V13" s="155"/>
      <c r="W13" s="145"/>
      <c r="X13" s="138" t="e">
        <f>5000*#REF!</f>
        <v>#REF!</v>
      </c>
      <c r="Y13" s="554" t="e">
        <f>5000*#REF!</f>
        <v>#REF!</v>
      </c>
      <c r="Z13" s="563"/>
    </row>
    <row r="14" spans="1:26" ht="48.65" hidden="1" customHeight="1" thickBot="1" x14ac:dyDescent="0.3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0"/>
        <v>15.57</v>
      </c>
      <c r="P14" s="404">
        <f t="shared" si="1"/>
        <v>1609.8889809444904</v>
      </c>
      <c r="Q14" s="398"/>
      <c r="R14" s="149"/>
      <c r="S14" s="136">
        <v>5000</v>
      </c>
      <c r="T14" s="142"/>
      <c r="U14" s="797"/>
      <c r="V14" s="155"/>
      <c r="W14" s="145"/>
      <c r="X14" s="270"/>
      <c r="Y14" s="555" t="e">
        <f>5000*#REF!</f>
        <v>#REF!</v>
      </c>
      <c r="Z14" s="563"/>
    </row>
    <row r="15" spans="1:26" ht="48.65" hidden="1" customHeight="1" x14ac:dyDescent="0.3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90"/>
      <c r="G15" s="190"/>
      <c r="H15" s="190"/>
      <c r="I15" s="190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0"/>
        <v>6.87</v>
      </c>
      <c r="P15" s="404">
        <f t="shared" si="1"/>
        <v>560.80988825960503</v>
      </c>
      <c r="Q15" s="398"/>
      <c r="R15" s="149"/>
      <c r="S15" s="136">
        <v>5000</v>
      </c>
      <c r="T15" s="142"/>
      <c r="U15" s="797"/>
      <c r="V15" s="155"/>
      <c r="W15" s="145"/>
      <c r="X15" s="138" t="e">
        <f>5000*#REF!</f>
        <v>#REF!</v>
      </c>
      <c r="Y15" s="555" t="e">
        <f>5000*#REF!</f>
        <v>#REF!</v>
      </c>
      <c r="Z15" s="563"/>
    </row>
    <row r="16" spans="1:26" ht="48.65" hidden="1" customHeight="1" x14ac:dyDescent="0.3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0"/>
        <v>6.9700000000000006</v>
      </c>
      <c r="P16" s="404">
        <f t="shared" si="1"/>
        <v>199.74167832167834</v>
      </c>
      <c r="Q16" s="398"/>
      <c r="R16" s="149"/>
      <c r="S16" s="136">
        <v>5000</v>
      </c>
      <c r="T16" s="157"/>
      <c r="U16" s="797"/>
      <c r="V16" s="155"/>
      <c r="W16" s="145"/>
      <c r="X16" s="270"/>
      <c r="Y16" s="555" t="e">
        <f>5000*#REF!</f>
        <v>#REF!</v>
      </c>
      <c r="Z16" s="563"/>
    </row>
    <row r="17" spans="1:26" ht="48.65" hidden="1" customHeight="1" thickBot="1" x14ac:dyDescent="0.3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0"/>
        <v>6.9700000000000006</v>
      </c>
      <c r="P17" s="404">
        <f t="shared" si="1"/>
        <v>239.7788693957115</v>
      </c>
      <c r="Q17" s="398"/>
      <c r="R17" s="149"/>
      <c r="S17" s="136">
        <v>5000</v>
      </c>
      <c r="T17" s="157"/>
      <c r="U17" s="797"/>
      <c r="V17" s="155"/>
      <c r="W17" s="145"/>
      <c r="X17" s="270"/>
      <c r="Y17" s="555" t="e">
        <f>5000*#REF!</f>
        <v>#REF!</v>
      </c>
      <c r="Z17" s="563"/>
    </row>
    <row r="18" spans="1:26" ht="48.65" hidden="1" customHeight="1" x14ac:dyDescent="0.3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0"/>
        <v>6.17</v>
      </c>
      <c r="P18" s="404">
        <f t="shared" si="1"/>
        <v>212.25762183235867</v>
      </c>
      <c r="Q18" s="398"/>
      <c r="R18" s="149"/>
      <c r="S18" s="136">
        <v>5000</v>
      </c>
      <c r="T18" s="142"/>
      <c r="U18" s="797"/>
      <c r="V18" s="155"/>
      <c r="W18" s="145"/>
      <c r="X18" s="270"/>
      <c r="Y18" s="555" t="e">
        <f>5000*#REF!</f>
        <v>#REF!</v>
      </c>
      <c r="Z18" s="563"/>
    </row>
    <row r="19" spans="1:26" ht="48.65" hidden="1" customHeight="1" x14ac:dyDescent="0.3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0"/>
        <v>5.57</v>
      </c>
      <c r="P19" s="404">
        <f t="shared" si="1"/>
        <v>159.6213986013986</v>
      </c>
      <c r="Q19" s="398"/>
      <c r="R19" s="149"/>
      <c r="S19" s="136">
        <v>5000</v>
      </c>
      <c r="T19" s="142"/>
      <c r="U19" s="797"/>
      <c r="V19" s="155"/>
      <c r="W19" s="145"/>
      <c r="X19" s="270"/>
      <c r="Y19" s="555" t="e">
        <f>5000*#REF!</f>
        <v>#REF!</v>
      </c>
      <c r="Z19" s="563"/>
    </row>
    <row r="20" spans="1:26" ht="48.65" hidden="1" customHeight="1" thickBot="1" x14ac:dyDescent="0.3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90">
        <v>126.94337899999999</v>
      </c>
      <c r="G20" s="190">
        <v>-8.5426549999999999</v>
      </c>
      <c r="H20" s="190">
        <v>126.93016</v>
      </c>
      <c r="I20" s="190">
        <v>-8.5536960000000004</v>
      </c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0"/>
        <v>6.9700000000000006</v>
      </c>
      <c r="P20" s="404">
        <f t="shared" si="1"/>
        <v>660.22281105990794</v>
      </c>
      <c r="Q20" s="398"/>
      <c r="R20" s="149"/>
      <c r="S20" s="136">
        <v>5000</v>
      </c>
      <c r="T20" s="142"/>
      <c r="U20" s="281"/>
      <c r="V20" s="803"/>
      <c r="W20" s="148"/>
      <c r="X20" s="138" t="e">
        <f>5000*#REF!</f>
        <v>#REF!</v>
      </c>
      <c r="Y20" s="555" t="e">
        <f>5000*#REF!</f>
        <v>#REF!</v>
      </c>
      <c r="Z20" s="563"/>
    </row>
    <row r="21" spans="1:26" ht="48.65" hidden="1" customHeight="1" x14ac:dyDescent="0.3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0"/>
        <v>4.97</v>
      </c>
      <c r="P21" s="404">
        <f t="shared" si="1"/>
        <v>170.97575048732941</v>
      </c>
      <c r="Q21" s="398"/>
      <c r="R21" s="149"/>
      <c r="S21" s="136">
        <v>5000</v>
      </c>
      <c r="T21" s="142"/>
      <c r="U21" s="281"/>
      <c r="V21" s="803"/>
      <c r="W21" s="148"/>
      <c r="X21" s="138" t="e">
        <f>5000*#REF!</f>
        <v>#REF!</v>
      </c>
      <c r="Y21" s="555" t="e">
        <f>5000*#REF!</f>
        <v>#REF!</v>
      </c>
      <c r="Z21" s="563"/>
    </row>
    <row r="22" spans="1:26" ht="48.65" hidden="1" customHeight="1" x14ac:dyDescent="0.3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0"/>
        <v>5.57</v>
      </c>
      <c r="P22" s="404">
        <f t="shared" si="1"/>
        <v>191.61668615984405</v>
      </c>
      <c r="Q22" s="398"/>
      <c r="R22" s="149"/>
      <c r="S22" s="136">
        <v>5000</v>
      </c>
      <c r="T22" s="142"/>
      <c r="U22" s="281"/>
      <c r="V22" s="803"/>
      <c r="W22" s="148"/>
      <c r="X22" s="138" t="e">
        <f>5000*#REF!</f>
        <v>#REF!</v>
      </c>
      <c r="Y22" s="555" t="e">
        <f>5000*#REF!</f>
        <v>#REF!</v>
      </c>
      <c r="Z22" s="563"/>
    </row>
    <row r="23" spans="1:26" ht="48.65" hidden="1" customHeight="1" thickBot="1" x14ac:dyDescent="0.3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0"/>
        <v>5.57</v>
      </c>
      <c r="P23" s="404">
        <f t="shared" si="1"/>
        <v>159.6213986013986</v>
      </c>
      <c r="Q23" s="398"/>
      <c r="R23" s="149"/>
      <c r="S23" s="136">
        <v>5000</v>
      </c>
      <c r="T23" s="142"/>
      <c r="U23" s="281"/>
      <c r="V23" s="803"/>
      <c r="W23" s="148"/>
      <c r="X23" s="138" t="e">
        <f>5000*#REF!</f>
        <v>#REF!</v>
      </c>
      <c r="Y23" s="555" t="e">
        <f>5000*#REF!</f>
        <v>#REF!</v>
      </c>
      <c r="Z23" s="563"/>
    </row>
    <row r="24" spans="1:26" ht="48.65" hidden="1" customHeight="1" x14ac:dyDescent="0.3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0"/>
        <v>5.57</v>
      </c>
      <c r="P24" s="404">
        <f t="shared" si="1"/>
        <v>159.6213986013986</v>
      </c>
      <c r="Q24" s="398"/>
      <c r="R24" s="149"/>
      <c r="S24" s="136">
        <v>5000</v>
      </c>
      <c r="T24" s="142"/>
      <c r="U24" s="281"/>
      <c r="V24" s="803"/>
      <c r="W24" s="148"/>
      <c r="X24" s="138" t="e">
        <f>5000*#REF!</f>
        <v>#REF!</v>
      </c>
      <c r="Y24" s="555" t="e">
        <f>5000*#REF!</f>
        <v>#REF!</v>
      </c>
      <c r="Z24" s="563"/>
    </row>
    <row r="25" spans="1:26" ht="48.65" hidden="1" customHeight="1" x14ac:dyDescent="0.3">
      <c r="A25" s="140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0"/>
        <v>6.9700000000000006</v>
      </c>
      <c r="P25" s="404">
        <f t="shared" si="1"/>
        <v>199.74167832167834</v>
      </c>
      <c r="Q25" s="398"/>
      <c r="R25" s="149"/>
      <c r="S25" s="136">
        <v>5000</v>
      </c>
      <c r="T25" s="142"/>
      <c r="U25" s="281"/>
      <c r="V25" s="803"/>
      <c r="W25" s="148"/>
      <c r="X25" s="138" t="e">
        <f>5000*#REF!</f>
        <v>#REF!</v>
      </c>
      <c r="Y25" s="555" t="e">
        <f>5000*#REF!</f>
        <v>#REF!</v>
      </c>
      <c r="Z25" s="575"/>
    </row>
    <row r="26" spans="1:26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405"/>
      <c r="Q26" s="399"/>
      <c r="R26" s="174"/>
      <c r="S26" s="175"/>
      <c r="T26" s="168"/>
      <c r="U26" s="798"/>
      <c r="V26" s="804"/>
      <c r="W26" s="169"/>
      <c r="X26" s="169"/>
      <c r="Y26" s="556"/>
      <c r="Z26" s="576"/>
    </row>
    <row r="27" spans="1:26" ht="46.25" customHeight="1" x14ac:dyDescent="0.3">
      <c r="A27" s="155">
        <v>1</v>
      </c>
      <c r="B27" s="141" t="s">
        <v>42</v>
      </c>
      <c r="C27" s="165" t="s">
        <v>43</v>
      </c>
      <c r="D27" s="165" t="s">
        <v>120</v>
      </c>
      <c r="E27" s="177" t="s">
        <v>129</v>
      </c>
      <c r="F27" s="389">
        <v>126.799249</v>
      </c>
      <c r="G27" s="389">
        <v>-8.5845210000000005</v>
      </c>
      <c r="H27" s="389">
        <v>126.84336500000001</v>
      </c>
      <c r="I27" s="389">
        <v>-8.5632079999999995</v>
      </c>
      <c r="J27" s="412">
        <v>8</v>
      </c>
      <c r="K27" s="143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36" si="2">(J27*2)+$O$2</f>
        <v>17.57</v>
      </c>
      <c r="P27" s="404">
        <f>(M27/N27)*O27</f>
        <v>1978.6722306525041</v>
      </c>
      <c r="Q27" s="400" t="e">
        <f>(P27*R27)/S27</f>
        <v>#DIV/0!</v>
      </c>
      <c r="R27" s="382">
        <v>20</v>
      </c>
      <c r="S27" s="384"/>
      <c r="T27" s="383">
        <f>586662.11+377898.71+388493.24+358697.82</f>
        <v>1711751.8800000001</v>
      </c>
      <c r="U27" s="799">
        <v>1</v>
      </c>
      <c r="V27" s="805"/>
      <c r="W27" s="412"/>
      <c r="X27" s="412">
        <f>J27-V27-W27</f>
        <v>8</v>
      </c>
      <c r="Y27" s="557">
        <f>J27-V27-W27-X27</f>
        <v>0</v>
      </c>
      <c r="Z27" s="589">
        <f>SUM(V27:Y27)</f>
        <v>8</v>
      </c>
    </row>
    <row r="28" spans="1:26" ht="46.25" customHeight="1" x14ac:dyDescent="0.3">
      <c r="A28" s="155">
        <v>2</v>
      </c>
      <c r="B28" s="160" t="s">
        <v>42</v>
      </c>
      <c r="C28" s="142" t="s">
        <v>43</v>
      </c>
      <c r="D28" s="142" t="s">
        <v>166</v>
      </c>
      <c r="E28" s="161" t="s">
        <v>164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412">
        <v>6.5</v>
      </c>
      <c r="K28" s="191" t="s">
        <v>165</v>
      </c>
      <c r="L28" s="146" t="s">
        <v>85</v>
      </c>
      <c r="M28" s="145">
        <f>3376+1819+952</f>
        <v>6147</v>
      </c>
      <c r="N28" s="145">
        <f>22.73+23.09+11.4</f>
        <v>57.22</v>
      </c>
      <c r="O28" s="165">
        <f t="shared" si="2"/>
        <v>14.57</v>
      </c>
      <c r="P28" s="404">
        <f t="shared" ref="P28:P36" si="3">(M28/N28)*O28</f>
        <v>1565.218280321566</v>
      </c>
      <c r="Q28" s="401" t="e">
        <f t="shared" ref="Q28:Q36" si="4">(P28*R28)/S28</f>
        <v>#DIV/0!</v>
      </c>
      <c r="R28" s="149">
        <v>18</v>
      </c>
      <c r="S28" s="149"/>
      <c r="T28" s="199"/>
      <c r="U28" s="800">
        <v>2</v>
      </c>
      <c r="V28" s="805">
        <v>6.5</v>
      </c>
      <c r="W28" s="412">
        <f>J28-V28</f>
        <v>0</v>
      </c>
      <c r="X28" s="412"/>
      <c r="Y28" s="557">
        <f t="shared" ref="Y28:Y34" si="5">J28-V28-W28-X28</f>
        <v>0</v>
      </c>
      <c r="Z28" s="589">
        <f t="shared" ref="Z28:Z39" si="6">SUM(V28:Y28)</f>
        <v>6.5</v>
      </c>
    </row>
    <row r="29" spans="1:26" ht="46.25" customHeight="1" x14ac:dyDescent="0.3">
      <c r="A29" s="155">
        <v>3</v>
      </c>
      <c r="B29" s="160" t="s">
        <v>42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412">
        <v>4.75</v>
      </c>
      <c r="K29" s="179" t="s">
        <v>23</v>
      </c>
      <c r="L29" s="146" t="s">
        <v>85</v>
      </c>
      <c r="M29" s="145">
        <f>952+1662</f>
        <v>2614</v>
      </c>
      <c r="N29" s="145">
        <f>11.38+16.37</f>
        <v>27.75</v>
      </c>
      <c r="O29" s="165">
        <f t="shared" si="2"/>
        <v>11.07</v>
      </c>
      <c r="P29" s="404">
        <f t="shared" si="3"/>
        <v>1042.774054054054</v>
      </c>
      <c r="Q29" s="401" t="e">
        <f t="shared" si="4"/>
        <v>#DIV/0!</v>
      </c>
      <c r="R29" s="149">
        <v>20</v>
      </c>
      <c r="S29" s="149"/>
      <c r="T29" s="199"/>
      <c r="U29" s="800">
        <v>3</v>
      </c>
      <c r="V29" s="805">
        <v>2.4500000000000002</v>
      </c>
      <c r="W29" s="412">
        <f>J29-V29</f>
        <v>2.2999999999999998</v>
      </c>
      <c r="X29" s="412"/>
      <c r="Y29" s="557">
        <f t="shared" si="5"/>
        <v>0</v>
      </c>
      <c r="Z29" s="589">
        <f t="shared" si="6"/>
        <v>4.75</v>
      </c>
    </row>
    <row r="30" spans="1:26" ht="46.25" customHeight="1" x14ac:dyDescent="0.3">
      <c r="A30" s="155">
        <v>4</v>
      </c>
      <c r="B30" s="145" t="s">
        <v>42</v>
      </c>
      <c r="C30" s="142" t="s">
        <v>43</v>
      </c>
      <c r="D30" s="142" t="s">
        <v>47</v>
      </c>
      <c r="E30" s="143" t="s">
        <v>63</v>
      </c>
      <c r="F30" s="190">
        <v>126.848935</v>
      </c>
      <c r="G30" s="190">
        <v>-8.5179659999999995</v>
      </c>
      <c r="H30" s="190">
        <v>126.888716</v>
      </c>
      <c r="I30" s="190">
        <v>-8.4564819999999994</v>
      </c>
      <c r="J30" s="412">
        <v>7</v>
      </c>
      <c r="K30" s="143" t="s">
        <v>165</v>
      </c>
      <c r="L30" s="201" t="s">
        <v>25</v>
      </c>
      <c r="M30" s="145">
        <f>3376+1819</f>
        <v>5195</v>
      </c>
      <c r="N30" s="145">
        <f>22.73+23.09</f>
        <v>45.82</v>
      </c>
      <c r="O30" s="165">
        <f t="shared" si="2"/>
        <v>15.57</v>
      </c>
      <c r="P30" s="404">
        <f>(M30/N30)*O30</f>
        <v>1765.3022697512006</v>
      </c>
      <c r="Q30" s="401" t="e">
        <f>(P30*R30)/S30</f>
        <v>#DIV/0!</v>
      </c>
      <c r="R30" s="149"/>
      <c r="S30" s="149"/>
      <c r="T30" s="199"/>
      <c r="U30" s="800">
        <v>19</v>
      </c>
      <c r="V30" s="805">
        <v>7</v>
      </c>
      <c r="W30" s="412">
        <f>J30-V30</f>
        <v>0</v>
      </c>
      <c r="X30" s="411"/>
      <c r="Y30" s="557">
        <f t="shared" si="5"/>
        <v>0</v>
      </c>
      <c r="Z30" s="589">
        <f t="shared" si="6"/>
        <v>7</v>
      </c>
    </row>
    <row r="31" spans="1:26" ht="46.25" customHeight="1" x14ac:dyDescent="0.3">
      <c r="A31" s="155">
        <v>5</v>
      </c>
      <c r="B31" s="141" t="s">
        <v>169</v>
      </c>
      <c r="C31" s="142" t="s">
        <v>43</v>
      </c>
      <c r="D31" s="142" t="s">
        <v>130</v>
      </c>
      <c r="E31" s="177" t="s">
        <v>168</v>
      </c>
      <c r="F31" s="190">
        <v>126.96513400000001</v>
      </c>
      <c r="G31" s="190">
        <v>-8.5304369999999992</v>
      </c>
      <c r="H31" s="204">
        <v>126.927727</v>
      </c>
      <c r="I31" s="204">
        <v>-8.5332489999999996</v>
      </c>
      <c r="J31" s="414">
        <v>2</v>
      </c>
      <c r="K31" s="206" t="s">
        <v>165</v>
      </c>
      <c r="L31" s="146" t="s">
        <v>85</v>
      </c>
      <c r="M31" s="145">
        <v>3450</v>
      </c>
      <c r="N31" s="145">
        <f>43.4</f>
        <v>43.4</v>
      </c>
      <c r="O31" s="165">
        <f t="shared" si="2"/>
        <v>5.57</v>
      </c>
      <c r="P31" s="404">
        <f t="shared" si="3"/>
        <v>442.77649769585258</v>
      </c>
      <c r="Q31" s="401" t="e">
        <f t="shared" si="4"/>
        <v>#DIV/0!</v>
      </c>
      <c r="R31" s="149"/>
      <c r="S31" s="208"/>
      <c r="T31" s="199"/>
      <c r="U31" s="800">
        <v>20</v>
      </c>
      <c r="V31" s="805">
        <v>1</v>
      </c>
      <c r="W31" s="412"/>
      <c r="X31" s="411"/>
      <c r="Y31" s="557">
        <f t="shared" si="5"/>
        <v>1</v>
      </c>
      <c r="Z31" s="589">
        <f t="shared" si="6"/>
        <v>2</v>
      </c>
    </row>
    <row r="32" spans="1:26" ht="46.25" customHeight="1" x14ac:dyDescent="0.3">
      <c r="A32" s="155">
        <v>6</v>
      </c>
      <c r="B32" s="160" t="s">
        <v>169</v>
      </c>
      <c r="C32" s="142" t="s">
        <v>43</v>
      </c>
      <c r="D32" s="142" t="s">
        <v>130</v>
      </c>
      <c r="E32" s="161" t="s">
        <v>170</v>
      </c>
      <c r="F32" s="190">
        <v>126.918738</v>
      </c>
      <c r="G32" s="190">
        <v>-8.3512190000000004</v>
      </c>
      <c r="H32" s="190">
        <v>126.93129999999999</v>
      </c>
      <c r="I32" s="190">
        <v>-8.3599370000000004</v>
      </c>
      <c r="J32" s="412">
        <v>1.2</v>
      </c>
      <c r="K32" s="143" t="s">
        <v>23</v>
      </c>
      <c r="L32" s="156" t="s">
        <v>8</v>
      </c>
      <c r="M32" s="145">
        <v>3345</v>
      </c>
      <c r="N32" s="145">
        <v>82.14</v>
      </c>
      <c r="O32" s="165">
        <f t="shared" si="2"/>
        <v>3.9699999999999998</v>
      </c>
      <c r="P32" s="404">
        <f t="shared" si="3"/>
        <v>161.67092768444118</v>
      </c>
      <c r="Q32" s="401" t="e">
        <f t="shared" si="4"/>
        <v>#DIV/0!</v>
      </c>
      <c r="R32" s="149"/>
      <c r="S32" s="149"/>
      <c r="T32" s="199"/>
      <c r="U32" s="801">
        <v>21</v>
      </c>
      <c r="V32" s="806"/>
      <c r="W32" s="412"/>
      <c r="X32" s="411"/>
      <c r="Y32" s="557">
        <f t="shared" si="5"/>
        <v>1.2</v>
      </c>
      <c r="Z32" s="589">
        <f t="shared" si="6"/>
        <v>1.2</v>
      </c>
    </row>
    <row r="33" spans="1:26" ht="46.25" customHeight="1" x14ac:dyDescent="0.3">
      <c r="A33" s="388">
        <v>7</v>
      </c>
      <c r="B33" s="205" t="s">
        <v>169</v>
      </c>
      <c r="C33" s="385" t="s">
        <v>43</v>
      </c>
      <c r="D33" s="385" t="s">
        <v>130</v>
      </c>
      <c r="E33" s="206" t="s">
        <v>171</v>
      </c>
      <c r="F33" s="190">
        <v>126.848935</v>
      </c>
      <c r="G33" s="190">
        <v>-8.5179659999999995</v>
      </c>
      <c r="H33" s="190">
        <v>126.888716</v>
      </c>
      <c r="I33" s="190">
        <v>-8.4564819999999994</v>
      </c>
      <c r="J33" s="414">
        <v>3</v>
      </c>
      <c r="K33" s="206" t="s">
        <v>23</v>
      </c>
      <c r="L33" s="386" t="s">
        <v>8</v>
      </c>
      <c r="M33" s="205">
        <v>2789</v>
      </c>
      <c r="N33" s="205">
        <v>119.69</v>
      </c>
      <c r="O33" s="210">
        <f t="shared" ref="O33:O35" si="7">(J33*2)+$O$2</f>
        <v>7.57</v>
      </c>
      <c r="P33" s="406">
        <f t="shared" ref="P33:P35" si="8">(M33/N33)*O33</f>
        <v>176.39510401871502</v>
      </c>
      <c r="Q33" s="402" t="e">
        <f t="shared" ref="Q33:Q35" si="9">(P33*R33)/S33</f>
        <v>#DIV/0!</v>
      </c>
      <c r="R33" s="208"/>
      <c r="S33" s="208"/>
      <c r="T33" s="387"/>
      <c r="U33" s="801">
        <v>22</v>
      </c>
      <c r="V33" s="806"/>
      <c r="W33" s="412"/>
      <c r="X33" s="413"/>
      <c r="Y33" s="557">
        <f t="shared" si="5"/>
        <v>3</v>
      </c>
      <c r="Z33" s="589">
        <f t="shared" si="6"/>
        <v>3</v>
      </c>
    </row>
    <row r="34" spans="1:26" ht="46.25" customHeight="1" x14ac:dyDescent="0.3">
      <c r="A34" s="155">
        <v>8</v>
      </c>
      <c r="B34" s="145" t="s">
        <v>169</v>
      </c>
      <c r="C34" s="142" t="s">
        <v>43</v>
      </c>
      <c r="D34" s="142" t="s">
        <v>173</v>
      </c>
      <c r="E34" s="143" t="s">
        <v>172</v>
      </c>
      <c r="F34" s="190">
        <v>126.96513400000001</v>
      </c>
      <c r="G34" s="190">
        <v>-8.5304369999999992</v>
      </c>
      <c r="H34" s="204">
        <v>126.927727</v>
      </c>
      <c r="I34" s="204">
        <v>-8.5332489999999996</v>
      </c>
      <c r="J34" s="412">
        <v>3.65</v>
      </c>
      <c r="K34" s="143" t="s">
        <v>23</v>
      </c>
      <c r="L34" s="386" t="s">
        <v>8</v>
      </c>
      <c r="M34" s="145">
        <v>3450</v>
      </c>
      <c r="N34" s="145">
        <v>119.69</v>
      </c>
      <c r="O34" s="165">
        <f t="shared" si="7"/>
        <v>8.8699999999999992</v>
      </c>
      <c r="P34" s="404">
        <f t="shared" si="8"/>
        <v>255.67298855376384</v>
      </c>
      <c r="Q34" s="401" t="e">
        <f t="shared" si="9"/>
        <v>#DIV/0!</v>
      </c>
      <c r="R34" s="149"/>
      <c r="S34" s="149"/>
      <c r="T34" s="199"/>
      <c r="U34" s="800">
        <v>22</v>
      </c>
      <c r="V34" s="806"/>
      <c r="W34" s="412"/>
      <c r="X34" s="413"/>
      <c r="Y34" s="557">
        <f t="shared" si="5"/>
        <v>3.65</v>
      </c>
      <c r="Z34" s="589">
        <f t="shared" si="6"/>
        <v>3.65</v>
      </c>
    </row>
    <row r="35" spans="1:26" ht="46.25" customHeight="1" x14ac:dyDescent="0.3">
      <c r="A35" s="155">
        <v>9</v>
      </c>
      <c r="B35" s="145" t="s">
        <v>169</v>
      </c>
      <c r="C35" s="142" t="s">
        <v>43</v>
      </c>
      <c r="D35" s="142" t="s">
        <v>173</v>
      </c>
      <c r="E35" s="143" t="s">
        <v>174</v>
      </c>
      <c r="F35" s="190">
        <v>126.918738</v>
      </c>
      <c r="G35" s="190">
        <v>-8.3512190000000004</v>
      </c>
      <c r="H35" s="190">
        <v>126.93129999999999</v>
      </c>
      <c r="I35" s="190">
        <v>-8.3599370000000004</v>
      </c>
      <c r="J35" s="412">
        <v>4</v>
      </c>
      <c r="K35" s="143" t="s">
        <v>165</v>
      </c>
      <c r="L35" s="146" t="s">
        <v>85</v>
      </c>
      <c r="M35" s="145">
        <v>1989</v>
      </c>
      <c r="N35" s="145">
        <v>119.69</v>
      </c>
      <c r="O35" s="165">
        <f t="shared" si="7"/>
        <v>9.57</v>
      </c>
      <c r="P35" s="135">
        <f t="shared" si="8"/>
        <v>159.03358676581166</v>
      </c>
      <c r="Q35" s="180" t="e">
        <f t="shared" si="9"/>
        <v>#DIV/0!</v>
      </c>
      <c r="R35" s="149"/>
      <c r="S35" s="149"/>
      <c r="T35" s="199"/>
      <c r="U35" s="800">
        <v>22</v>
      </c>
      <c r="V35" s="805">
        <v>0.25</v>
      </c>
      <c r="W35" s="412"/>
      <c r="X35" s="411"/>
      <c r="Y35" s="557">
        <f t="shared" ref="Y35" si="10">J35-V35-W35-X35</f>
        <v>3.75</v>
      </c>
      <c r="Z35" s="589">
        <f t="shared" si="6"/>
        <v>4</v>
      </c>
    </row>
    <row r="36" spans="1:26" ht="46.25" customHeight="1" thickBot="1" x14ac:dyDescent="0.35">
      <c r="A36" s="449">
        <v>9</v>
      </c>
      <c r="B36" s="450" t="s">
        <v>176</v>
      </c>
      <c r="C36" s="451" t="s">
        <v>43</v>
      </c>
      <c r="D36" s="451" t="s">
        <v>379</v>
      </c>
      <c r="E36" s="452" t="s">
        <v>380</v>
      </c>
      <c r="F36" s="453" t="s">
        <v>432</v>
      </c>
      <c r="G36" s="453" t="s">
        <v>433</v>
      </c>
      <c r="H36" s="453"/>
      <c r="I36" s="453"/>
      <c r="J36" s="454">
        <v>1.2</v>
      </c>
      <c r="K36" s="452" t="s">
        <v>165</v>
      </c>
      <c r="L36" s="455" t="s">
        <v>85</v>
      </c>
      <c r="M36" s="450">
        <v>1989</v>
      </c>
      <c r="N36" s="450">
        <v>119.69</v>
      </c>
      <c r="O36" s="456">
        <f t="shared" si="2"/>
        <v>3.9699999999999998</v>
      </c>
      <c r="P36" s="457">
        <f t="shared" si="3"/>
        <v>65.973180716851857</v>
      </c>
      <c r="Q36" s="458" t="e">
        <f t="shared" si="4"/>
        <v>#DIV/0!</v>
      </c>
      <c r="R36" s="459"/>
      <c r="S36" s="459"/>
      <c r="T36" s="460"/>
      <c r="U36" s="802">
        <v>22</v>
      </c>
      <c r="V36" s="807">
        <v>0.25</v>
      </c>
      <c r="W36" s="454"/>
      <c r="X36" s="461"/>
      <c r="Y36" s="558">
        <f>J36-V36-W36-X36</f>
        <v>0.95</v>
      </c>
      <c r="Z36" s="583">
        <f t="shared" si="6"/>
        <v>1.2</v>
      </c>
    </row>
    <row r="37" spans="1:26" ht="28.25" customHeight="1" x14ac:dyDescent="0.45">
      <c r="A37" s="923" t="s">
        <v>333</v>
      </c>
      <c r="B37" s="924"/>
      <c r="C37" s="924"/>
      <c r="D37" s="924"/>
      <c r="E37" s="924"/>
      <c r="F37" s="924"/>
      <c r="G37" s="924"/>
      <c r="H37" s="924"/>
      <c r="I37" s="924"/>
      <c r="J37" s="924"/>
      <c r="K37" s="925"/>
      <c r="L37" s="428" t="s">
        <v>185</v>
      </c>
      <c r="M37" s="391">
        <f>SUM(J27:J30)</f>
        <v>26.25</v>
      </c>
      <c r="N37" s="392"/>
      <c r="O37" s="392"/>
      <c r="P37" s="407"/>
      <c r="Q37" s="417"/>
      <c r="R37" s="103"/>
      <c r="S37" s="103"/>
      <c r="T37" s="104"/>
      <c r="U37" s="418"/>
      <c r="V37" s="421">
        <f>SUM(V27:V30)</f>
        <v>15.95</v>
      </c>
      <c r="W37" s="421">
        <f>SUM(W27:W30)</f>
        <v>2.2999999999999998</v>
      </c>
      <c r="X37" s="421">
        <f>SUM(X27:X30)</f>
        <v>8</v>
      </c>
      <c r="Y37" s="559">
        <f>SUM(Y27:Y30)</f>
        <v>0</v>
      </c>
      <c r="Z37" s="590">
        <f>SUM(V37:Y37)</f>
        <v>26.25</v>
      </c>
    </row>
    <row r="38" spans="1:26" ht="28.25" customHeight="1" x14ac:dyDescent="0.4">
      <c r="A38" s="926"/>
      <c r="B38" s="927"/>
      <c r="C38" s="927"/>
      <c r="D38" s="927"/>
      <c r="E38" s="927"/>
      <c r="F38" s="927"/>
      <c r="G38" s="927"/>
      <c r="H38" s="927"/>
      <c r="I38" s="927"/>
      <c r="J38" s="927"/>
      <c r="K38" s="928"/>
      <c r="L38" s="429" t="s">
        <v>186</v>
      </c>
      <c r="M38" s="393">
        <f>SUM(J31:J36)</f>
        <v>15.049999999999999</v>
      </c>
      <c r="N38" s="394"/>
      <c r="O38" s="394"/>
      <c r="P38" s="408"/>
      <c r="Q38" s="419"/>
      <c r="R38" s="419"/>
      <c r="S38" s="420"/>
      <c r="T38" s="419"/>
      <c r="U38" s="419"/>
      <c r="V38" s="415">
        <f>SUM(V31:V35)</f>
        <v>1.25</v>
      </c>
      <c r="W38" s="415">
        <f>SUM(W31:W36)</f>
        <v>0</v>
      </c>
      <c r="X38" s="415">
        <f>SUM(X31:X36)</f>
        <v>0</v>
      </c>
      <c r="Y38" s="560">
        <f>SUM(Y31:Y35)</f>
        <v>12.6</v>
      </c>
      <c r="Z38" s="589">
        <f t="shared" si="6"/>
        <v>13.85</v>
      </c>
    </row>
    <row r="39" spans="1:26" ht="28.25" customHeight="1" x14ac:dyDescent="0.4">
      <c r="A39" s="926"/>
      <c r="B39" s="927"/>
      <c r="C39" s="927"/>
      <c r="D39" s="927"/>
      <c r="E39" s="927"/>
      <c r="F39" s="927"/>
      <c r="G39" s="927"/>
      <c r="H39" s="927"/>
      <c r="I39" s="927"/>
      <c r="J39" s="927"/>
      <c r="K39" s="928"/>
      <c r="L39" s="429" t="s">
        <v>187</v>
      </c>
      <c r="M39" s="395">
        <v>0</v>
      </c>
      <c r="N39" s="396"/>
      <c r="O39" s="396"/>
      <c r="P39" s="409"/>
      <c r="Q39" s="419"/>
      <c r="R39" s="419"/>
      <c r="S39" s="420"/>
      <c r="T39" s="419"/>
      <c r="U39" s="419"/>
      <c r="V39" s="415">
        <f>V36</f>
        <v>0.25</v>
      </c>
      <c r="W39" s="415">
        <f>W36</f>
        <v>0</v>
      </c>
      <c r="X39" s="415">
        <f>X36</f>
        <v>0</v>
      </c>
      <c r="Y39" s="560">
        <f>Y36</f>
        <v>0.95</v>
      </c>
      <c r="Z39" s="589">
        <f t="shared" si="6"/>
        <v>1.2</v>
      </c>
    </row>
    <row r="40" spans="1:26" ht="28.25" customHeight="1" thickBot="1" x14ac:dyDescent="0.45">
      <c r="A40" s="929"/>
      <c r="B40" s="930"/>
      <c r="C40" s="930"/>
      <c r="D40" s="930"/>
      <c r="E40" s="930"/>
      <c r="F40" s="930"/>
      <c r="G40" s="930"/>
      <c r="H40" s="930"/>
      <c r="I40" s="930"/>
      <c r="J40" s="930"/>
      <c r="K40" s="931"/>
      <c r="L40" s="422" t="s">
        <v>20</v>
      </c>
      <c r="M40" s="422">
        <f>SUM(M37:M39)</f>
        <v>41.3</v>
      </c>
      <c r="N40" s="423"/>
      <c r="O40" s="423"/>
      <c r="P40" s="424"/>
      <c r="Q40" s="425"/>
      <c r="R40" s="425"/>
      <c r="S40" s="426"/>
      <c r="T40" s="425"/>
      <c r="U40" s="425"/>
      <c r="V40" s="427">
        <f>SUM(V37:V39)</f>
        <v>17.45</v>
      </c>
      <c r="W40" s="427">
        <f t="shared" ref="W40:Y40" si="11">SUM(W37:W39)</f>
        <v>2.2999999999999998</v>
      </c>
      <c r="X40" s="427">
        <f>SUM(X37:X39)</f>
        <v>8</v>
      </c>
      <c r="Y40" s="561">
        <f t="shared" si="11"/>
        <v>13.549999999999999</v>
      </c>
      <c r="Z40" s="583">
        <f>SUM(V40:Y40)</f>
        <v>41.3</v>
      </c>
    </row>
    <row r="41" spans="1:26" ht="25.5" x14ac:dyDescent="0.4">
      <c r="M41" s="390"/>
      <c r="Z41" s="562"/>
    </row>
    <row r="43" spans="1:26" ht="34.25" customHeight="1" x14ac:dyDescent="0.3"/>
    <row r="52" spans="5:5" ht="20" x14ac:dyDescent="0.4">
      <c r="E52" s="381"/>
    </row>
  </sheetData>
  <mergeCells count="37">
    <mergeCell ref="Y5:Y6"/>
    <mergeCell ref="V5:V6"/>
    <mergeCell ref="W5:W6"/>
    <mergeCell ref="X5:X6"/>
    <mergeCell ref="V7:V8"/>
    <mergeCell ref="W7:W8"/>
    <mergeCell ref="X7:X8"/>
    <mergeCell ref="Y7:Y8"/>
    <mergeCell ref="A37:K40"/>
    <mergeCell ref="F5:F8"/>
    <mergeCell ref="G5:G8"/>
    <mergeCell ref="H5:H8"/>
    <mergeCell ref="I5:I8"/>
    <mergeCell ref="K5:K8"/>
    <mergeCell ref="N3:N8"/>
    <mergeCell ref="O3:O8"/>
    <mergeCell ref="P3:P8"/>
    <mergeCell ref="T5:T8"/>
    <mergeCell ref="R3:R8"/>
    <mergeCell ref="Q3:Q8"/>
    <mergeCell ref="S5:S8"/>
    <mergeCell ref="V4:Z4"/>
    <mergeCell ref="V3:Z3"/>
    <mergeCell ref="Z5:Z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M3:M8"/>
  </mergeCells>
  <printOptions horizontalCentered="1"/>
  <pageMargins left="0.43" right="0.25" top="0.25" bottom="0.25" header="0.3" footer="0.3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Z53"/>
  <sheetViews>
    <sheetView view="pageBreakPreview" zoomScale="40" zoomScaleNormal="40" zoomScaleSheetLayoutView="40" workbookViewId="0">
      <selection activeCell="V32" sqref="V32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1.1796875" style="1" customWidth="1"/>
    <col min="5" max="5" width="71.36328125" style="1" customWidth="1"/>
    <col min="6" max="9" width="17.36328125" style="1" customWidth="1"/>
    <col min="10" max="10" width="17.453125" style="1" customWidth="1"/>
    <col min="11" max="11" width="27.54296875" style="1" customWidth="1"/>
    <col min="12" max="12" width="18.363281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9.453125" style="1" customWidth="1"/>
    <col min="23" max="23" width="17.36328125" style="1" customWidth="1"/>
    <col min="24" max="24" width="14.90625" style="1" customWidth="1"/>
    <col min="25" max="25" width="15.1796875" style="1" customWidth="1"/>
    <col min="26" max="26" width="16.6328125" style="1" customWidth="1"/>
    <col min="27" max="27" width="13" style="1" customWidth="1"/>
    <col min="28" max="16384" width="8.81640625" style="1"/>
  </cols>
  <sheetData>
    <row r="1" spans="1:26" ht="93.65" customHeight="1" x14ac:dyDescent="0.3">
      <c r="A1" s="977" t="s">
        <v>177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116" t="s">
        <v>33</v>
      </c>
      <c r="B3" s="1119" t="s">
        <v>167</v>
      </c>
      <c r="C3" s="1122" t="s">
        <v>0</v>
      </c>
      <c r="D3" s="1125" t="s">
        <v>150</v>
      </c>
      <c r="E3" s="1125" t="s">
        <v>2</v>
      </c>
      <c r="F3" s="1125" t="s">
        <v>3</v>
      </c>
      <c r="G3" s="1125"/>
      <c r="H3" s="1125" t="s">
        <v>147</v>
      </c>
      <c r="I3" s="1125"/>
      <c r="J3" s="1128" t="s">
        <v>6</v>
      </c>
      <c r="K3" s="1131" t="s">
        <v>26</v>
      </c>
      <c r="L3" s="1131"/>
      <c r="M3" s="1104" t="s">
        <v>27</v>
      </c>
      <c r="N3" s="1104" t="s">
        <v>28</v>
      </c>
      <c r="O3" s="1107" t="s">
        <v>32</v>
      </c>
      <c r="P3" s="1110" t="s">
        <v>139</v>
      </c>
      <c r="Q3" s="1113" t="s">
        <v>143</v>
      </c>
      <c r="R3" s="1101" t="s">
        <v>148</v>
      </c>
      <c r="S3" s="1183" t="s">
        <v>9</v>
      </c>
      <c r="T3" s="1183"/>
      <c r="U3" s="1133" t="s">
        <v>151</v>
      </c>
      <c r="V3" s="1136" t="s">
        <v>179</v>
      </c>
      <c r="W3" s="1137"/>
      <c r="X3" s="1137"/>
      <c r="Y3" s="1137"/>
      <c r="Z3" s="1138"/>
    </row>
    <row r="4" spans="1:26" ht="42" customHeight="1" x14ac:dyDescent="0.3">
      <c r="A4" s="1117"/>
      <c r="B4" s="1120"/>
      <c r="C4" s="1123"/>
      <c r="D4" s="1126"/>
      <c r="E4" s="1126"/>
      <c r="F4" s="1126"/>
      <c r="G4" s="1126"/>
      <c r="H4" s="1126"/>
      <c r="I4" s="1126"/>
      <c r="J4" s="1129"/>
      <c r="K4" s="1132"/>
      <c r="L4" s="1132"/>
      <c r="M4" s="1105"/>
      <c r="N4" s="1105"/>
      <c r="O4" s="1108"/>
      <c r="P4" s="1111"/>
      <c r="Q4" s="1114"/>
      <c r="R4" s="1102"/>
      <c r="S4" s="1184"/>
      <c r="T4" s="1184"/>
      <c r="U4" s="1134"/>
      <c r="V4" s="1075" t="s">
        <v>328</v>
      </c>
      <c r="W4" s="1076"/>
      <c r="X4" s="1076"/>
      <c r="Y4" s="1076"/>
      <c r="Z4" s="1185"/>
    </row>
    <row r="5" spans="1:26" ht="30" customHeight="1" x14ac:dyDescent="0.5">
      <c r="A5" s="1117"/>
      <c r="B5" s="1120"/>
      <c r="C5" s="1123"/>
      <c r="D5" s="1126"/>
      <c r="E5" s="1126"/>
      <c r="F5" s="1095" t="s">
        <v>4</v>
      </c>
      <c r="G5" s="1095" t="s">
        <v>5</v>
      </c>
      <c r="H5" s="1095" t="s">
        <v>4</v>
      </c>
      <c r="I5" s="1095" t="s">
        <v>5</v>
      </c>
      <c r="J5" s="1129"/>
      <c r="K5" s="1097" t="s">
        <v>7</v>
      </c>
      <c r="L5" s="645" t="s">
        <v>14</v>
      </c>
      <c r="M5" s="1105"/>
      <c r="N5" s="1105"/>
      <c r="O5" s="1108"/>
      <c r="P5" s="1111"/>
      <c r="Q5" s="1114"/>
      <c r="R5" s="1102"/>
      <c r="S5" s="1171" t="s">
        <v>10</v>
      </c>
      <c r="T5" s="1165" t="s">
        <v>11</v>
      </c>
      <c r="U5" s="1134"/>
      <c r="V5" s="1167" t="s">
        <v>181</v>
      </c>
      <c r="W5" s="1169" t="s">
        <v>182</v>
      </c>
      <c r="X5" s="1169" t="s">
        <v>183</v>
      </c>
      <c r="Y5" s="1173" t="s">
        <v>184</v>
      </c>
      <c r="Z5" s="1160" t="s">
        <v>11</v>
      </c>
    </row>
    <row r="6" spans="1:26" ht="30" customHeight="1" x14ac:dyDescent="0.5">
      <c r="A6" s="1117"/>
      <c r="B6" s="1120"/>
      <c r="C6" s="1123"/>
      <c r="D6" s="1126"/>
      <c r="E6" s="1126"/>
      <c r="F6" s="1095"/>
      <c r="G6" s="1095"/>
      <c r="H6" s="1095"/>
      <c r="I6" s="1095"/>
      <c r="J6" s="1129"/>
      <c r="K6" s="1097"/>
      <c r="L6" s="646" t="s">
        <v>15</v>
      </c>
      <c r="M6" s="1105"/>
      <c r="N6" s="1105"/>
      <c r="O6" s="1108"/>
      <c r="P6" s="1111"/>
      <c r="Q6" s="1114"/>
      <c r="R6" s="1102"/>
      <c r="S6" s="1171"/>
      <c r="T6" s="1165"/>
      <c r="U6" s="1134"/>
      <c r="V6" s="1168"/>
      <c r="W6" s="1170"/>
      <c r="X6" s="1170"/>
      <c r="Y6" s="1174"/>
      <c r="Z6" s="1161"/>
    </row>
    <row r="7" spans="1:26" ht="30" customHeight="1" x14ac:dyDescent="0.5">
      <c r="A7" s="1117"/>
      <c r="B7" s="1120"/>
      <c r="C7" s="1123"/>
      <c r="D7" s="1126"/>
      <c r="E7" s="1126"/>
      <c r="F7" s="1095"/>
      <c r="G7" s="1095"/>
      <c r="H7" s="1095"/>
      <c r="I7" s="1095"/>
      <c r="J7" s="1129"/>
      <c r="K7" s="1097"/>
      <c r="L7" s="647" t="s">
        <v>16</v>
      </c>
      <c r="M7" s="1105"/>
      <c r="N7" s="1105"/>
      <c r="O7" s="1108"/>
      <c r="P7" s="1111"/>
      <c r="Q7" s="1114"/>
      <c r="R7" s="1102"/>
      <c r="S7" s="1171"/>
      <c r="T7" s="1165"/>
      <c r="U7" s="1134"/>
      <c r="V7" s="1175" t="s">
        <v>180</v>
      </c>
      <c r="W7" s="1177" t="s">
        <v>13</v>
      </c>
      <c r="X7" s="1179" t="s">
        <v>13</v>
      </c>
      <c r="Y7" s="1181" t="s">
        <v>13</v>
      </c>
      <c r="Z7" s="1161"/>
    </row>
    <row r="8" spans="1:26" ht="30" customHeight="1" thickBot="1" x14ac:dyDescent="0.55000000000000004">
      <c r="A8" s="1118"/>
      <c r="B8" s="1121"/>
      <c r="C8" s="1124"/>
      <c r="D8" s="1127"/>
      <c r="E8" s="1127"/>
      <c r="F8" s="1096"/>
      <c r="G8" s="1096"/>
      <c r="H8" s="1096"/>
      <c r="I8" s="1096"/>
      <c r="J8" s="1130"/>
      <c r="K8" s="1098"/>
      <c r="L8" s="648"/>
      <c r="M8" s="1106"/>
      <c r="N8" s="1106"/>
      <c r="O8" s="1109"/>
      <c r="P8" s="1112"/>
      <c r="Q8" s="1115"/>
      <c r="R8" s="1103"/>
      <c r="S8" s="1172"/>
      <c r="T8" s="1166"/>
      <c r="U8" s="1135"/>
      <c r="V8" s="1176"/>
      <c r="W8" s="1178"/>
      <c r="X8" s="1180"/>
      <c r="Y8" s="1182"/>
      <c r="Z8" s="1161"/>
    </row>
    <row r="9" spans="1:26" ht="48.65" hidden="1" customHeight="1" thickBot="1" x14ac:dyDescent="0.35">
      <c r="A9" s="649">
        <v>1</v>
      </c>
      <c r="B9" s="650" t="s">
        <v>35</v>
      </c>
      <c r="C9" s="651" t="s">
        <v>43</v>
      </c>
      <c r="D9" s="651" t="s">
        <v>47</v>
      </c>
      <c r="E9" s="652" t="s">
        <v>63</v>
      </c>
      <c r="F9" s="653"/>
      <c r="G9" s="654"/>
      <c r="H9" s="654"/>
      <c r="I9" s="654"/>
      <c r="J9" s="650">
        <v>7</v>
      </c>
      <c r="K9" s="651" t="s">
        <v>82</v>
      </c>
      <c r="L9" s="655" t="s">
        <v>85</v>
      </c>
      <c r="M9" s="650">
        <f>3376+1819</f>
        <v>5195</v>
      </c>
      <c r="N9" s="650">
        <f>22.73+23.09</f>
        <v>45.82</v>
      </c>
      <c r="O9" s="656">
        <f>(J9*2)+$O$2</f>
        <v>15.57</v>
      </c>
      <c r="P9" s="657">
        <f>(M9/N9)*O9</f>
        <v>1765.3022697512006</v>
      </c>
      <c r="Q9" s="658"/>
      <c r="R9" s="659"/>
      <c r="S9" s="660">
        <v>5000</v>
      </c>
      <c r="T9" s="651"/>
      <c r="U9" s="771"/>
      <c r="V9" s="649"/>
      <c r="W9" s="650"/>
      <c r="X9" s="808" t="e">
        <f>5000*#REF!</f>
        <v>#REF!</v>
      </c>
      <c r="Y9" s="809" t="e">
        <f>5000*#REF!</f>
        <v>#REF!</v>
      </c>
      <c r="Z9" s="810"/>
    </row>
    <row r="10" spans="1:26" ht="48.65" hidden="1" customHeight="1" thickBot="1" x14ac:dyDescent="0.35">
      <c r="A10" s="665">
        <v>2</v>
      </c>
      <c r="B10" s="666" t="s">
        <v>36</v>
      </c>
      <c r="C10" s="667" t="s">
        <v>43</v>
      </c>
      <c r="D10" s="667" t="s">
        <v>48</v>
      </c>
      <c r="E10" s="668" t="s">
        <v>64</v>
      </c>
      <c r="F10" s="669"/>
      <c r="G10" s="669"/>
      <c r="H10" s="669"/>
      <c r="I10" s="669"/>
      <c r="J10" s="662">
        <v>6.5</v>
      </c>
      <c r="K10" s="667" t="s">
        <v>82</v>
      </c>
      <c r="L10" s="670" t="s">
        <v>85</v>
      </c>
      <c r="M10" s="662">
        <f>3376+1819+952</f>
        <v>6147</v>
      </c>
      <c r="N10" s="662">
        <f>22.73+23.09+11.4</f>
        <v>57.22</v>
      </c>
      <c r="O10" s="671">
        <f t="shared" ref="O10:O25" si="0">(J10*2)+$O$2</f>
        <v>14.57</v>
      </c>
      <c r="P10" s="672">
        <f t="shared" ref="P10:P25" si="1">(M10/N10)*O10</f>
        <v>1565.218280321566</v>
      </c>
      <c r="Q10" s="673"/>
      <c r="R10" s="674"/>
      <c r="S10" s="675">
        <v>5000</v>
      </c>
      <c r="T10" s="667"/>
      <c r="U10" s="772"/>
      <c r="V10" s="677"/>
      <c r="W10" s="662"/>
      <c r="X10" s="811" t="e">
        <f>5000*#REF!</f>
        <v>#REF!</v>
      </c>
      <c r="Y10" s="809" t="e">
        <f>5000*#REF!</f>
        <v>#REF!</v>
      </c>
      <c r="Z10" s="810"/>
    </row>
    <row r="11" spans="1:26" ht="48.65" hidden="1" customHeight="1" thickBot="1" x14ac:dyDescent="0.35">
      <c r="A11" s="677">
        <v>3</v>
      </c>
      <c r="B11" s="666" t="s">
        <v>37</v>
      </c>
      <c r="C11" s="667" t="s">
        <v>44</v>
      </c>
      <c r="D11" s="667" t="s">
        <v>49</v>
      </c>
      <c r="E11" s="668" t="s">
        <v>65</v>
      </c>
      <c r="F11" s="669"/>
      <c r="G11" s="669"/>
      <c r="H11" s="669"/>
      <c r="I11" s="669"/>
      <c r="J11" s="662">
        <v>10.5</v>
      </c>
      <c r="K11" s="667" t="s">
        <v>82</v>
      </c>
      <c r="L11" s="670" t="s">
        <v>85</v>
      </c>
      <c r="M11" s="662">
        <v>1077</v>
      </c>
      <c r="N11" s="662">
        <v>42.11</v>
      </c>
      <c r="O11" s="671">
        <f t="shared" si="0"/>
        <v>22.57</v>
      </c>
      <c r="P11" s="672">
        <f t="shared" si="1"/>
        <v>577.24744716219425</v>
      </c>
      <c r="Q11" s="673"/>
      <c r="R11" s="674"/>
      <c r="S11" s="675">
        <v>5000</v>
      </c>
      <c r="T11" s="667"/>
      <c r="U11" s="772"/>
      <c r="V11" s="677"/>
      <c r="W11" s="662"/>
      <c r="X11" s="811" t="e">
        <f>5000*#REF!</f>
        <v>#REF!</v>
      </c>
      <c r="Y11" s="809" t="e">
        <f>5000*#REF!</f>
        <v>#REF!</v>
      </c>
      <c r="Z11" s="810"/>
    </row>
    <row r="12" spans="1:26" ht="48.65" hidden="1" customHeight="1" thickBot="1" x14ac:dyDescent="0.35">
      <c r="A12" s="649">
        <v>4</v>
      </c>
      <c r="B12" s="662" t="s">
        <v>38</v>
      </c>
      <c r="C12" s="667" t="s">
        <v>45</v>
      </c>
      <c r="D12" s="667" t="s">
        <v>50</v>
      </c>
      <c r="E12" s="668" t="s">
        <v>66</v>
      </c>
      <c r="F12" s="669"/>
      <c r="G12" s="669"/>
      <c r="H12" s="669"/>
      <c r="I12" s="669"/>
      <c r="J12" s="662">
        <v>2.5</v>
      </c>
      <c r="K12" s="667" t="s">
        <v>137</v>
      </c>
      <c r="L12" s="678" t="s">
        <v>8</v>
      </c>
      <c r="M12" s="662">
        <f>15935+3078</f>
        <v>19013</v>
      </c>
      <c r="N12" s="662">
        <f>104.77+37.12</f>
        <v>141.88999999999999</v>
      </c>
      <c r="O12" s="671">
        <f t="shared" si="0"/>
        <v>6.57</v>
      </c>
      <c r="P12" s="672">
        <f t="shared" si="1"/>
        <v>880.36796109662419</v>
      </c>
      <c r="Q12" s="673"/>
      <c r="R12" s="674"/>
      <c r="S12" s="675">
        <v>5000</v>
      </c>
      <c r="T12" s="667"/>
      <c r="U12" s="772"/>
      <c r="V12" s="677"/>
      <c r="W12" s="662"/>
      <c r="X12" s="811" t="e">
        <f>5000*#REF!</f>
        <v>#REF!</v>
      </c>
      <c r="Y12" s="809" t="e">
        <f>5000*#REF!</f>
        <v>#REF!</v>
      </c>
      <c r="Z12" s="810"/>
    </row>
    <row r="13" spans="1:26" ht="48.65" hidden="1" customHeight="1" x14ac:dyDescent="0.3">
      <c r="A13" s="665">
        <v>5</v>
      </c>
      <c r="B13" s="662" t="s">
        <v>38</v>
      </c>
      <c r="C13" s="667" t="s">
        <v>45</v>
      </c>
      <c r="D13" s="667" t="s">
        <v>51</v>
      </c>
      <c r="E13" s="668" t="s">
        <v>67</v>
      </c>
      <c r="F13" s="669"/>
      <c r="G13" s="669"/>
      <c r="H13" s="669"/>
      <c r="I13" s="669"/>
      <c r="J13" s="662">
        <v>1</v>
      </c>
      <c r="K13" s="667" t="s">
        <v>83</v>
      </c>
      <c r="L13" s="678" t="s">
        <v>8</v>
      </c>
      <c r="M13" s="662">
        <f>15935+3078</f>
        <v>19013</v>
      </c>
      <c r="N13" s="662">
        <f>104.77+37.12</f>
        <v>141.88999999999999</v>
      </c>
      <c r="O13" s="671">
        <f t="shared" si="0"/>
        <v>3.5700000000000003</v>
      </c>
      <c r="P13" s="672">
        <f t="shared" si="1"/>
        <v>478.37345831277759</v>
      </c>
      <c r="Q13" s="673"/>
      <c r="R13" s="674"/>
      <c r="S13" s="675">
        <v>5000</v>
      </c>
      <c r="T13" s="667"/>
      <c r="U13" s="772"/>
      <c r="V13" s="677"/>
      <c r="W13" s="662"/>
      <c r="X13" s="811" t="e">
        <f>5000*#REF!</f>
        <v>#REF!</v>
      </c>
      <c r="Y13" s="809" t="e">
        <f>5000*#REF!</f>
        <v>#REF!</v>
      </c>
      <c r="Z13" s="810"/>
    </row>
    <row r="14" spans="1:26" ht="48.65" hidden="1" customHeight="1" thickBot="1" x14ac:dyDescent="0.35">
      <c r="A14" s="677">
        <v>6</v>
      </c>
      <c r="B14" s="662" t="s">
        <v>39</v>
      </c>
      <c r="C14" s="667" t="s">
        <v>45</v>
      </c>
      <c r="D14" s="667" t="s">
        <v>52</v>
      </c>
      <c r="E14" s="668" t="s">
        <v>68</v>
      </c>
      <c r="F14" s="669"/>
      <c r="G14" s="669"/>
      <c r="H14" s="669"/>
      <c r="I14" s="669"/>
      <c r="J14" s="662">
        <v>7</v>
      </c>
      <c r="K14" s="667" t="s">
        <v>83</v>
      </c>
      <c r="L14" s="678" t="s">
        <v>8</v>
      </c>
      <c r="M14" s="662">
        <f>15935+2785</f>
        <v>18720</v>
      </c>
      <c r="N14" s="662">
        <f>104.77+76.28</f>
        <v>181.05</v>
      </c>
      <c r="O14" s="671">
        <f t="shared" si="0"/>
        <v>15.57</v>
      </c>
      <c r="P14" s="672">
        <f t="shared" si="1"/>
        <v>1609.8889809444904</v>
      </c>
      <c r="Q14" s="673"/>
      <c r="R14" s="674"/>
      <c r="S14" s="675">
        <v>5000</v>
      </c>
      <c r="T14" s="667"/>
      <c r="U14" s="772"/>
      <c r="V14" s="677"/>
      <c r="W14" s="662"/>
      <c r="X14" s="812"/>
      <c r="Y14" s="813" t="e">
        <f>5000*#REF!</f>
        <v>#REF!</v>
      </c>
      <c r="Z14" s="810"/>
    </row>
    <row r="15" spans="1:26" ht="48.65" hidden="1" customHeight="1" x14ac:dyDescent="0.3">
      <c r="A15" s="649">
        <v>7</v>
      </c>
      <c r="B15" s="662" t="s">
        <v>40</v>
      </c>
      <c r="C15" s="667" t="s">
        <v>45</v>
      </c>
      <c r="D15" s="667" t="s">
        <v>53</v>
      </c>
      <c r="E15" s="668" t="s">
        <v>69</v>
      </c>
      <c r="F15" s="680"/>
      <c r="G15" s="680"/>
      <c r="H15" s="680"/>
      <c r="I15" s="680"/>
      <c r="J15" s="662">
        <v>2.65</v>
      </c>
      <c r="K15" s="667" t="s">
        <v>82</v>
      </c>
      <c r="L15" s="670" t="s">
        <v>85</v>
      </c>
      <c r="M15" s="662">
        <f>1222+4111</f>
        <v>5333</v>
      </c>
      <c r="N15" s="662">
        <f>21.93+43.4</f>
        <v>65.33</v>
      </c>
      <c r="O15" s="671">
        <f t="shared" si="0"/>
        <v>6.87</v>
      </c>
      <c r="P15" s="672">
        <f t="shared" si="1"/>
        <v>560.80988825960503</v>
      </c>
      <c r="Q15" s="673"/>
      <c r="R15" s="674"/>
      <c r="S15" s="675">
        <v>5000</v>
      </c>
      <c r="T15" s="667"/>
      <c r="U15" s="772"/>
      <c r="V15" s="677"/>
      <c r="W15" s="662"/>
      <c r="X15" s="811" t="e">
        <f>5000*#REF!</f>
        <v>#REF!</v>
      </c>
      <c r="Y15" s="813" t="e">
        <f>5000*#REF!</f>
        <v>#REF!</v>
      </c>
      <c r="Z15" s="810"/>
    </row>
    <row r="16" spans="1:26" ht="48.65" hidden="1" customHeight="1" x14ac:dyDescent="0.3">
      <c r="A16" s="665">
        <v>8</v>
      </c>
      <c r="B16" s="662" t="s">
        <v>41</v>
      </c>
      <c r="C16" s="667" t="s">
        <v>46</v>
      </c>
      <c r="D16" s="667" t="s">
        <v>54</v>
      </c>
      <c r="E16" s="668" t="s">
        <v>70</v>
      </c>
      <c r="F16" s="669"/>
      <c r="G16" s="669"/>
      <c r="H16" s="669"/>
      <c r="I16" s="669"/>
      <c r="J16" s="662">
        <v>2.7</v>
      </c>
      <c r="K16" s="667" t="s">
        <v>82</v>
      </c>
      <c r="L16" s="678" t="s">
        <v>8</v>
      </c>
      <c r="M16" s="662">
        <v>2049</v>
      </c>
      <c r="N16" s="662">
        <v>71.5</v>
      </c>
      <c r="O16" s="671">
        <f t="shared" si="0"/>
        <v>6.9700000000000006</v>
      </c>
      <c r="P16" s="672">
        <f t="shared" si="1"/>
        <v>199.74167832167834</v>
      </c>
      <c r="Q16" s="673"/>
      <c r="R16" s="674"/>
      <c r="S16" s="675">
        <v>5000</v>
      </c>
      <c r="T16" s="681"/>
      <c r="U16" s="772"/>
      <c r="V16" s="677"/>
      <c r="W16" s="662"/>
      <c r="X16" s="812"/>
      <c r="Y16" s="813" t="e">
        <f>5000*#REF!</f>
        <v>#REF!</v>
      </c>
      <c r="Z16" s="810"/>
    </row>
    <row r="17" spans="1:26" ht="48.65" hidden="1" customHeight="1" thickBot="1" x14ac:dyDescent="0.35">
      <c r="A17" s="677">
        <v>9</v>
      </c>
      <c r="B17" s="662" t="s">
        <v>41</v>
      </c>
      <c r="C17" s="667" t="s">
        <v>46</v>
      </c>
      <c r="D17" s="667" t="s">
        <v>55</v>
      </c>
      <c r="E17" s="668" t="s">
        <v>71</v>
      </c>
      <c r="F17" s="667"/>
      <c r="G17" s="667"/>
      <c r="H17" s="667"/>
      <c r="I17" s="667"/>
      <c r="J17" s="662">
        <v>2.7</v>
      </c>
      <c r="K17" s="667" t="s">
        <v>82</v>
      </c>
      <c r="L17" s="678" t="s">
        <v>8</v>
      </c>
      <c r="M17" s="662">
        <f>2049+2363</f>
        <v>4412</v>
      </c>
      <c r="N17" s="662">
        <f>71.5+56.75</f>
        <v>128.25</v>
      </c>
      <c r="O17" s="671">
        <f t="shared" si="0"/>
        <v>6.9700000000000006</v>
      </c>
      <c r="P17" s="672">
        <f t="shared" si="1"/>
        <v>239.7788693957115</v>
      </c>
      <c r="Q17" s="673"/>
      <c r="R17" s="674"/>
      <c r="S17" s="675">
        <v>5000</v>
      </c>
      <c r="T17" s="681"/>
      <c r="U17" s="772"/>
      <c r="V17" s="677"/>
      <c r="W17" s="662"/>
      <c r="X17" s="812"/>
      <c r="Y17" s="813" t="e">
        <f>5000*#REF!</f>
        <v>#REF!</v>
      </c>
      <c r="Z17" s="810"/>
    </row>
    <row r="18" spans="1:26" ht="48.65" hidden="1" customHeight="1" x14ac:dyDescent="0.3">
      <c r="A18" s="649">
        <v>10</v>
      </c>
      <c r="B18" s="666" t="s">
        <v>41</v>
      </c>
      <c r="C18" s="667" t="s">
        <v>46</v>
      </c>
      <c r="D18" s="667" t="s">
        <v>55</v>
      </c>
      <c r="E18" s="682" t="s">
        <v>72</v>
      </c>
      <c r="F18" s="669"/>
      <c r="G18" s="669"/>
      <c r="H18" s="669"/>
      <c r="I18" s="669"/>
      <c r="J18" s="662">
        <v>2.2999999999999998</v>
      </c>
      <c r="K18" s="667" t="s">
        <v>82</v>
      </c>
      <c r="L18" s="678" t="s">
        <v>8</v>
      </c>
      <c r="M18" s="662">
        <f>2049+2363</f>
        <v>4412</v>
      </c>
      <c r="N18" s="662">
        <f>71.5+56.75</f>
        <v>128.25</v>
      </c>
      <c r="O18" s="671">
        <f t="shared" si="0"/>
        <v>6.17</v>
      </c>
      <c r="P18" s="672">
        <f t="shared" si="1"/>
        <v>212.25762183235867</v>
      </c>
      <c r="Q18" s="673"/>
      <c r="R18" s="674"/>
      <c r="S18" s="675">
        <v>5000</v>
      </c>
      <c r="T18" s="667"/>
      <c r="U18" s="772"/>
      <c r="V18" s="677"/>
      <c r="W18" s="662"/>
      <c r="X18" s="812"/>
      <c r="Y18" s="813" t="e">
        <f>5000*#REF!</f>
        <v>#REF!</v>
      </c>
      <c r="Z18" s="810"/>
    </row>
    <row r="19" spans="1:26" ht="48.65" hidden="1" customHeight="1" x14ac:dyDescent="0.3">
      <c r="A19" s="665">
        <v>11</v>
      </c>
      <c r="B19" s="662" t="s">
        <v>41</v>
      </c>
      <c r="C19" s="667" t="s">
        <v>46</v>
      </c>
      <c r="D19" s="667" t="s">
        <v>56</v>
      </c>
      <c r="E19" s="683" t="s">
        <v>73</v>
      </c>
      <c r="F19" s="667"/>
      <c r="G19" s="667"/>
      <c r="H19" s="667"/>
      <c r="I19" s="667"/>
      <c r="J19" s="662">
        <v>2</v>
      </c>
      <c r="K19" s="667" t="s">
        <v>82</v>
      </c>
      <c r="L19" s="678" t="s">
        <v>8</v>
      </c>
      <c r="M19" s="662">
        <v>2049</v>
      </c>
      <c r="N19" s="662">
        <v>71.5</v>
      </c>
      <c r="O19" s="671">
        <f t="shared" si="0"/>
        <v>5.57</v>
      </c>
      <c r="P19" s="672">
        <f t="shared" si="1"/>
        <v>159.6213986013986</v>
      </c>
      <c r="Q19" s="673"/>
      <c r="R19" s="674"/>
      <c r="S19" s="675">
        <v>5000</v>
      </c>
      <c r="T19" s="667"/>
      <c r="U19" s="772"/>
      <c r="V19" s="677"/>
      <c r="W19" s="662"/>
      <c r="X19" s="812"/>
      <c r="Y19" s="813" t="e">
        <f>5000*#REF!</f>
        <v>#REF!</v>
      </c>
      <c r="Z19" s="810"/>
    </row>
    <row r="20" spans="1:26" ht="48.65" hidden="1" customHeight="1" thickBot="1" x14ac:dyDescent="0.35">
      <c r="A20" s="677">
        <v>12</v>
      </c>
      <c r="B20" s="684" t="s">
        <v>42</v>
      </c>
      <c r="C20" s="667" t="s">
        <v>45</v>
      </c>
      <c r="D20" s="667" t="s">
        <v>58</v>
      </c>
      <c r="E20" s="685" t="s">
        <v>76</v>
      </c>
      <c r="F20" s="680">
        <v>126.94337899999999</v>
      </c>
      <c r="G20" s="680">
        <v>-8.5426549999999999</v>
      </c>
      <c r="H20" s="680">
        <v>126.93016</v>
      </c>
      <c r="I20" s="680">
        <v>-8.5536960000000004</v>
      </c>
      <c r="J20" s="686">
        <v>2.7</v>
      </c>
      <c r="K20" s="667" t="s">
        <v>82</v>
      </c>
      <c r="L20" s="687" t="s">
        <v>25</v>
      </c>
      <c r="M20" s="688">
        <v>4111</v>
      </c>
      <c r="N20" s="662">
        <v>43.4</v>
      </c>
      <c r="O20" s="671">
        <f t="shared" si="0"/>
        <v>6.9700000000000006</v>
      </c>
      <c r="P20" s="672">
        <f t="shared" si="1"/>
        <v>660.22281105990794</v>
      </c>
      <c r="Q20" s="673"/>
      <c r="R20" s="674"/>
      <c r="S20" s="675">
        <v>5000</v>
      </c>
      <c r="T20" s="667"/>
      <c r="U20" s="773"/>
      <c r="V20" s="779"/>
      <c r="W20" s="689"/>
      <c r="X20" s="811" t="e">
        <f>5000*#REF!</f>
        <v>#REF!</v>
      </c>
      <c r="Y20" s="813" t="e">
        <f>5000*#REF!</f>
        <v>#REF!</v>
      </c>
      <c r="Z20" s="810"/>
    </row>
    <row r="21" spans="1:26" ht="48.65" hidden="1" customHeight="1" x14ac:dyDescent="0.3">
      <c r="A21" s="649">
        <v>13</v>
      </c>
      <c r="B21" s="684" t="s">
        <v>42</v>
      </c>
      <c r="C21" s="667" t="s">
        <v>46</v>
      </c>
      <c r="D21" s="667" t="s">
        <v>59</v>
      </c>
      <c r="E21" s="685" t="s">
        <v>77</v>
      </c>
      <c r="F21" s="669"/>
      <c r="G21" s="669"/>
      <c r="H21" s="669"/>
      <c r="I21" s="669"/>
      <c r="J21" s="686">
        <v>1.7</v>
      </c>
      <c r="K21" s="667" t="s">
        <v>82</v>
      </c>
      <c r="L21" s="687" t="s">
        <v>25</v>
      </c>
      <c r="M21" s="688">
        <f>2049+2363</f>
        <v>4412</v>
      </c>
      <c r="N21" s="662">
        <f>71.5+56.75</f>
        <v>128.25</v>
      </c>
      <c r="O21" s="671">
        <f t="shared" si="0"/>
        <v>4.97</v>
      </c>
      <c r="P21" s="672">
        <f t="shared" si="1"/>
        <v>170.97575048732941</v>
      </c>
      <c r="Q21" s="673"/>
      <c r="R21" s="674"/>
      <c r="S21" s="675">
        <v>5000</v>
      </c>
      <c r="T21" s="667"/>
      <c r="U21" s="773"/>
      <c r="V21" s="779"/>
      <c r="W21" s="689"/>
      <c r="X21" s="811" t="e">
        <f>5000*#REF!</f>
        <v>#REF!</v>
      </c>
      <c r="Y21" s="813" t="e">
        <f>5000*#REF!</f>
        <v>#REF!</v>
      </c>
      <c r="Z21" s="810"/>
    </row>
    <row r="22" spans="1:26" ht="48.65" hidden="1" customHeight="1" x14ac:dyDescent="0.3">
      <c r="A22" s="665">
        <v>14</v>
      </c>
      <c r="B22" s="684" t="s">
        <v>42</v>
      </c>
      <c r="C22" s="667" t="s">
        <v>46</v>
      </c>
      <c r="D22" s="667" t="s">
        <v>60</v>
      </c>
      <c r="E22" s="685" t="s">
        <v>78</v>
      </c>
      <c r="F22" s="669"/>
      <c r="G22" s="669"/>
      <c r="H22" s="669"/>
      <c r="I22" s="669"/>
      <c r="J22" s="686">
        <v>2</v>
      </c>
      <c r="K22" s="667" t="s">
        <v>82</v>
      </c>
      <c r="L22" s="687" t="s">
        <v>25</v>
      </c>
      <c r="M22" s="688">
        <f>2049+2363</f>
        <v>4412</v>
      </c>
      <c r="N22" s="662">
        <f>71.5+56.75</f>
        <v>128.25</v>
      </c>
      <c r="O22" s="671">
        <f t="shared" si="0"/>
        <v>5.57</v>
      </c>
      <c r="P22" s="672">
        <f t="shared" si="1"/>
        <v>191.61668615984405</v>
      </c>
      <c r="Q22" s="673"/>
      <c r="R22" s="674"/>
      <c r="S22" s="675">
        <v>5000</v>
      </c>
      <c r="T22" s="667"/>
      <c r="U22" s="773"/>
      <c r="V22" s="779"/>
      <c r="W22" s="689"/>
      <c r="X22" s="811" t="e">
        <f>5000*#REF!</f>
        <v>#REF!</v>
      </c>
      <c r="Y22" s="813" t="e">
        <f>5000*#REF!</f>
        <v>#REF!</v>
      </c>
      <c r="Z22" s="810"/>
    </row>
    <row r="23" spans="1:26" ht="48.65" hidden="1" customHeight="1" thickBot="1" x14ac:dyDescent="0.35">
      <c r="A23" s="677">
        <v>15</v>
      </c>
      <c r="B23" s="684" t="s">
        <v>42</v>
      </c>
      <c r="C23" s="667" t="s">
        <v>46</v>
      </c>
      <c r="D23" s="667" t="s">
        <v>61</v>
      </c>
      <c r="E23" s="685" t="s">
        <v>79</v>
      </c>
      <c r="F23" s="667"/>
      <c r="G23" s="667"/>
      <c r="H23" s="667"/>
      <c r="I23" s="667"/>
      <c r="J23" s="686">
        <v>2</v>
      </c>
      <c r="K23" s="667" t="s">
        <v>82</v>
      </c>
      <c r="L23" s="687" t="s">
        <v>25</v>
      </c>
      <c r="M23" s="688">
        <v>2049</v>
      </c>
      <c r="N23" s="662">
        <v>71.5</v>
      </c>
      <c r="O23" s="671">
        <f t="shared" si="0"/>
        <v>5.57</v>
      </c>
      <c r="P23" s="672">
        <f t="shared" si="1"/>
        <v>159.6213986013986</v>
      </c>
      <c r="Q23" s="673"/>
      <c r="R23" s="674"/>
      <c r="S23" s="675">
        <v>5000</v>
      </c>
      <c r="T23" s="667"/>
      <c r="U23" s="773"/>
      <c r="V23" s="779"/>
      <c r="W23" s="689"/>
      <c r="X23" s="811" t="e">
        <f>5000*#REF!</f>
        <v>#REF!</v>
      </c>
      <c r="Y23" s="813" t="e">
        <f>5000*#REF!</f>
        <v>#REF!</v>
      </c>
      <c r="Z23" s="810"/>
    </row>
    <row r="24" spans="1:26" ht="48.65" hidden="1" customHeight="1" x14ac:dyDescent="0.3">
      <c r="A24" s="649">
        <v>16</v>
      </c>
      <c r="B24" s="684" t="s">
        <v>42</v>
      </c>
      <c r="C24" s="667" t="s">
        <v>46</v>
      </c>
      <c r="D24" s="667" t="s">
        <v>62</v>
      </c>
      <c r="E24" s="685" t="s">
        <v>80</v>
      </c>
      <c r="F24" s="669"/>
      <c r="G24" s="669"/>
      <c r="H24" s="669"/>
      <c r="I24" s="669"/>
      <c r="J24" s="686">
        <v>2</v>
      </c>
      <c r="K24" s="667" t="s">
        <v>82</v>
      </c>
      <c r="L24" s="687" t="s">
        <v>25</v>
      </c>
      <c r="M24" s="688">
        <v>2049</v>
      </c>
      <c r="N24" s="662">
        <v>71.5</v>
      </c>
      <c r="O24" s="671">
        <f t="shared" si="0"/>
        <v>5.57</v>
      </c>
      <c r="P24" s="672">
        <f t="shared" si="1"/>
        <v>159.6213986013986</v>
      </c>
      <c r="Q24" s="673"/>
      <c r="R24" s="674"/>
      <c r="S24" s="675">
        <v>5000</v>
      </c>
      <c r="T24" s="667"/>
      <c r="U24" s="773"/>
      <c r="V24" s="779"/>
      <c r="W24" s="689"/>
      <c r="X24" s="811" t="e">
        <f>5000*#REF!</f>
        <v>#REF!</v>
      </c>
      <c r="Y24" s="813" t="e">
        <f>5000*#REF!</f>
        <v>#REF!</v>
      </c>
      <c r="Z24" s="810"/>
    </row>
    <row r="25" spans="1:26" ht="48.65" hidden="1" customHeight="1" x14ac:dyDescent="0.3">
      <c r="A25" s="665">
        <v>17</v>
      </c>
      <c r="B25" s="684" t="s">
        <v>42</v>
      </c>
      <c r="C25" s="667" t="s">
        <v>46</v>
      </c>
      <c r="D25" s="667" t="s">
        <v>62</v>
      </c>
      <c r="E25" s="685" t="s">
        <v>81</v>
      </c>
      <c r="F25" s="667"/>
      <c r="G25" s="667"/>
      <c r="H25" s="667"/>
      <c r="I25" s="667"/>
      <c r="J25" s="686">
        <v>2.7</v>
      </c>
      <c r="K25" s="667" t="s">
        <v>82</v>
      </c>
      <c r="L25" s="687" t="s">
        <v>25</v>
      </c>
      <c r="M25" s="688">
        <v>2049</v>
      </c>
      <c r="N25" s="662">
        <v>71.5</v>
      </c>
      <c r="O25" s="671">
        <f t="shared" si="0"/>
        <v>6.9700000000000006</v>
      </c>
      <c r="P25" s="672">
        <f t="shared" si="1"/>
        <v>199.74167832167834</v>
      </c>
      <c r="Q25" s="673"/>
      <c r="R25" s="674"/>
      <c r="S25" s="675">
        <v>5000</v>
      </c>
      <c r="T25" s="667"/>
      <c r="U25" s="773"/>
      <c r="V25" s="779"/>
      <c r="W25" s="689"/>
      <c r="X25" s="811" t="e">
        <f>5000*#REF!</f>
        <v>#REF!</v>
      </c>
      <c r="Y25" s="813" t="e">
        <f>5000*#REF!</f>
        <v>#REF!</v>
      </c>
      <c r="Z25" s="814"/>
    </row>
    <row r="26" spans="1:26" ht="18" customHeight="1" x14ac:dyDescent="0.3">
      <c r="A26" s="815"/>
      <c r="B26" s="816"/>
      <c r="C26" s="817"/>
      <c r="D26" s="817"/>
      <c r="E26" s="817"/>
      <c r="F26" s="817"/>
      <c r="G26" s="817"/>
      <c r="H26" s="817"/>
      <c r="I26" s="817"/>
      <c r="J26" s="818"/>
      <c r="K26" s="817"/>
      <c r="L26" s="819"/>
      <c r="M26" s="820"/>
      <c r="N26" s="820"/>
      <c r="O26" s="820"/>
      <c r="P26" s="821"/>
      <c r="Q26" s="822"/>
      <c r="R26" s="823"/>
      <c r="S26" s="824"/>
      <c r="T26" s="817"/>
      <c r="U26" s="825"/>
      <c r="V26" s="826"/>
      <c r="W26" s="818"/>
      <c r="X26" s="818"/>
      <c r="Y26" s="827"/>
      <c r="Z26" s="828"/>
    </row>
    <row r="27" spans="1:26" ht="46.25" customHeight="1" x14ac:dyDescent="0.3">
      <c r="A27" s="677">
        <v>1</v>
      </c>
      <c r="B27" s="684" t="s">
        <v>42</v>
      </c>
      <c r="C27" s="667" t="s">
        <v>46</v>
      </c>
      <c r="D27" s="667" t="s">
        <v>334</v>
      </c>
      <c r="E27" s="667" t="s">
        <v>104</v>
      </c>
      <c r="F27" s="680">
        <v>126.83604099999999</v>
      </c>
      <c r="G27" s="680">
        <v>-8.6817060000000001</v>
      </c>
      <c r="H27" s="680">
        <v>126.859624</v>
      </c>
      <c r="I27" s="680">
        <v>-8.6872249999999998</v>
      </c>
      <c r="J27" s="662">
        <v>3.05</v>
      </c>
      <c r="K27" s="667" t="s">
        <v>165</v>
      </c>
      <c r="L27" s="829" t="s">
        <v>25</v>
      </c>
      <c r="M27" s="662">
        <f>3376+1819+952</f>
        <v>6147</v>
      </c>
      <c r="N27" s="662">
        <f>22.73+23.09+11.4</f>
        <v>57.22</v>
      </c>
      <c r="O27" s="668">
        <f t="shared" ref="O27:O28" si="2">(J27*2)+$O$2</f>
        <v>7.67</v>
      </c>
      <c r="P27" s="672">
        <f t="shared" ref="P27" si="3">(M27/N27)*O27</f>
        <v>823.96871723173717</v>
      </c>
      <c r="Q27" s="727" t="e">
        <f t="shared" ref="Q27" si="4">(P27*R27)/S27</f>
        <v>#DIV/0!</v>
      </c>
      <c r="R27" s="674">
        <v>18</v>
      </c>
      <c r="S27" s="674"/>
      <c r="T27" s="686"/>
      <c r="U27" s="777">
        <v>2</v>
      </c>
      <c r="V27" s="782">
        <v>1</v>
      </c>
      <c r="W27" s="718"/>
      <c r="X27" s="718"/>
      <c r="Y27" s="830">
        <f t="shared" ref="Y27:Y37" si="5">J27-V27-W27-X27</f>
        <v>2.0499999999999998</v>
      </c>
      <c r="Z27" s="831">
        <f>SUM(V27:Y27)</f>
        <v>3.05</v>
      </c>
    </row>
    <row r="28" spans="1:26" ht="46.25" customHeight="1" x14ac:dyDescent="0.3">
      <c r="A28" s="832">
        <v>2</v>
      </c>
      <c r="B28" s="691" t="s">
        <v>42</v>
      </c>
      <c r="C28" s="692" t="s">
        <v>46</v>
      </c>
      <c r="D28" s="692" t="s">
        <v>133</v>
      </c>
      <c r="E28" s="693" t="s">
        <v>341</v>
      </c>
      <c r="F28" s="730" t="s">
        <v>336</v>
      </c>
      <c r="G28" s="730" t="s">
        <v>337</v>
      </c>
      <c r="H28" s="730" t="s">
        <v>338</v>
      </c>
      <c r="I28" s="730" t="s">
        <v>339</v>
      </c>
      <c r="J28" s="731">
        <v>1.45</v>
      </c>
      <c r="K28" s="833" t="s">
        <v>82</v>
      </c>
      <c r="L28" s="670" t="s">
        <v>85</v>
      </c>
      <c r="M28" s="697"/>
      <c r="N28" s="697"/>
      <c r="O28" s="703">
        <f t="shared" si="2"/>
        <v>4.47</v>
      </c>
      <c r="P28" s="834"/>
      <c r="Q28" s="835"/>
      <c r="R28" s="701"/>
      <c r="S28" s="701"/>
      <c r="T28" s="694"/>
      <c r="U28" s="778"/>
      <c r="V28" s="787">
        <v>1.45</v>
      </c>
      <c r="W28" s="731"/>
      <c r="X28" s="731"/>
      <c r="Y28" s="830">
        <f t="shared" si="5"/>
        <v>0</v>
      </c>
      <c r="Z28" s="831">
        <f t="shared" ref="Z28:Z40" si="6">SUM(V28:Y28)</f>
        <v>1.45</v>
      </c>
    </row>
    <row r="29" spans="1:26" ht="46.25" customHeight="1" x14ac:dyDescent="0.3">
      <c r="A29" s="832">
        <v>3</v>
      </c>
      <c r="B29" s="691" t="s">
        <v>42</v>
      </c>
      <c r="C29" s="692" t="s">
        <v>46</v>
      </c>
      <c r="D29" s="692" t="s">
        <v>133</v>
      </c>
      <c r="E29" s="693" t="s">
        <v>340</v>
      </c>
      <c r="F29" s="730" t="s">
        <v>343</v>
      </c>
      <c r="G29" s="730" t="s">
        <v>344</v>
      </c>
      <c r="H29" s="730" t="s">
        <v>345</v>
      </c>
      <c r="I29" s="730" t="s">
        <v>346</v>
      </c>
      <c r="J29" s="731">
        <v>0.7</v>
      </c>
      <c r="K29" s="833" t="s">
        <v>342</v>
      </c>
      <c r="L29" s="829" t="s">
        <v>25</v>
      </c>
      <c r="M29" s="697"/>
      <c r="N29" s="697"/>
      <c r="O29" s="703"/>
      <c r="P29" s="834"/>
      <c r="Q29" s="835"/>
      <c r="R29" s="701"/>
      <c r="S29" s="701"/>
      <c r="T29" s="694"/>
      <c r="U29" s="778"/>
      <c r="V29" s="787">
        <v>0.7</v>
      </c>
      <c r="W29" s="731"/>
      <c r="X29" s="731"/>
      <c r="Y29" s="830">
        <f t="shared" si="5"/>
        <v>0</v>
      </c>
      <c r="Z29" s="831">
        <f t="shared" si="6"/>
        <v>0.7</v>
      </c>
    </row>
    <row r="30" spans="1:26" ht="46.25" customHeight="1" x14ac:dyDescent="0.3">
      <c r="A30" s="832">
        <v>4</v>
      </c>
      <c r="B30" s="666" t="s">
        <v>42</v>
      </c>
      <c r="C30" s="668" t="s">
        <v>46</v>
      </c>
      <c r="D30" s="668" t="s">
        <v>125</v>
      </c>
      <c r="E30" s="729" t="s">
        <v>108</v>
      </c>
      <c r="F30" s="662">
        <v>126.82301</v>
      </c>
      <c r="G30" s="662">
        <v>-8.7128040000000002</v>
      </c>
      <c r="H30" s="662">
        <v>126.80778599999999</v>
      </c>
      <c r="I30" s="662">
        <v>-8.7185459999999999</v>
      </c>
      <c r="J30" s="662">
        <v>2.5</v>
      </c>
      <c r="K30" s="668" t="s">
        <v>84</v>
      </c>
      <c r="L30" s="678" t="s">
        <v>8</v>
      </c>
      <c r="M30" s="662"/>
      <c r="N30" s="662"/>
      <c r="O30" s="668"/>
      <c r="P30" s="672"/>
      <c r="Q30" s="721"/>
      <c r="R30" s="722"/>
      <c r="S30" s="723"/>
      <c r="T30" s="724"/>
      <c r="U30" s="776"/>
      <c r="V30" s="782"/>
      <c r="W30" s="718"/>
      <c r="X30" s="718">
        <v>2.5</v>
      </c>
      <c r="Y30" s="830">
        <f t="shared" si="5"/>
        <v>0</v>
      </c>
      <c r="Z30" s="831">
        <f t="shared" si="6"/>
        <v>2.5</v>
      </c>
    </row>
    <row r="31" spans="1:26" ht="46.25" customHeight="1" x14ac:dyDescent="0.3">
      <c r="A31" s="832">
        <v>5</v>
      </c>
      <c r="B31" s="836" t="s">
        <v>42</v>
      </c>
      <c r="C31" s="703" t="s">
        <v>46</v>
      </c>
      <c r="D31" s="703" t="s">
        <v>335</v>
      </c>
      <c r="E31" s="837" t="s">
        <v>347</v>
      </c>
      <c r="F31" s="697" t="s">
        <v>348</v>
      </c>
      <c r="G31" s="697" t="s">
        <v>349</v>
      </c>
      <c r="H31" s="697" t="s">
        <v>350</v>
      </c>
      <c r="I31" s="697" t="s">
        <v>351</v>
      </c>
      <c r="J31" s="697">
        <v>15.8</v>
      </c>
      <c r="K31" s="703" t="s">
        <v>165</v>
      </c>
      <c r="L31" s="670" t="s">
        <v>85</v>
      </c>
      <c r="M31" s="697"/>
      <c r="N31" s="697"/>
      <c r="O31" s="703"/>
      <c r="P31" s="834"/>
      <c r="Q31" s="838"/>
      <c r="R31" s="839"/>
      <c r="S31" s="840"/>
      <c r="T31" s="841"/>
      <c r="U31" s="842"/>
      <c r="V31" s="787">
        <v>10.4</v>
      </c>
      <c r="W31" s="731">
        <v>5.4</v>
      </c>
      <c r="X31" s="731"/>
      <c r="Y31" s="830">
        <f t="shared" si="5"/>
        <v>0</v>
      </c>
      <c r="Z31" s="831">
        <f t="shared" si="6"/>
        <v>15.8</v>
      </c>
    </row>
    <row r="32" spans="1:26" ht="46.25" customHeight="1" x14ac:dyDescent="0.3">
      <c r="A32" s="832">
        <v>6</v>
      </c>
      <c r="B32" s="836" t="s">
        <v>169</v>
      </c>
      <c r="C32" s="703" t="s">
        <v>46</v>
      </c>
      <c r="D32" s="703" t="s">
        <v>352</v>
      </c>
      <c r="E32" s="837" t="s">
        <v>353</v>
      </c>
      <c r="F32" s="697" t="s">
        <v>354</v>
      </c>
      <c r="G32" s="697" t="s">
        <v>355</v>
      </c>
      <c r="H32" s="697" t="s">
        <v>356</v>
      </c>
      <c r="I32" s="697" t="s">
        <v>357</v>
      </c>
      <c r="J32" s="697">
        <v>2.5</v>
      </c>
      <c r="K32" s="703" t="s">
        <v>82</v>
      </c>
      <c r="L32" s="829" t="s">
        <v>25</v>
      </c>
      <c r="M32" s="697"/>
      <c r="N32" s="697"/>
      <c r="O32" s="703"/>
      <c r="P32" s="834"/>
      <c r="Q32" s="838"/>
      <c r="R32" s="839"/>
      <c r="S32" s="840"/>
      <c r="T32" s="841"/>
      <c r="U32" s="842"/>
      <c r="V32" s="787">
        <v>2.5</v>
      </c>
      <c r="W32" s="731"/>
      <c r="X32" s="731"/>
      <c r="Y32" s="830">
        <f t="shared" si="5"/>
        <v>0</v>
      </c>
      <c r="Z32" s="831">
        <f t="shared" si="6"/>
        <v>2.5</v>
      </c>
    </row>
    <row r="33" spans="1:26" ht="46.25" customHeight="1" x14ac:dyDescent="0.3">
      <c r="A33" s="832">
        <v>7</v>
      </c>
      <c r="B33" s="836" t="s">
        <v>169</v>
      </c>
      <c r="C33" s="703" t="s">
        <v>46</v>
      </c>
      <c r="D33" s="703" t="s">
        <v>366</v>
      </c>
      <c r="E33" s="837" t="s">
        <v>381</v>
      </c>
      <c r="F33" s="697" t="s">
        <v>424</v>
      </c>
      <c r="G33" s="697" t="s">
        <v>425</v>
      </c>
      <c r="H33" s="697"/>
      <c r="I33" s="697"/>
      <c r="J33" s="697">
        <v>3</v>
      </c>
      <c r="K33" s="703" t="s">
        <v>82</v>
      </c>
      <c r="L33" s="670" t="s">
        <v>85</v>
      </c>
      <c r="M33" s="697"/>
      <c r="N33" s="697"/>
      <c r="O33" s="703"/>
      <c r="P33" s="834"/>
      <c r="Q33" s="838"/>
      <c r="R33" s="839"/>
      <c r="S33" s="840"/>
      <c r="T33" s="841"/>
      <c r="U33" s="842"/>
      <c r="V33" s="787">
        <v>0.5</v>
      </c>
      <c r="W33" s="731"/>
      <c r="X33" s="731"/>
      <c r="Y33" s="830">
        <f t="shared" si="5"/>
        <v>2.5</v>
      </c>
      <c r="Z33" s="831">
        <f t="shared" si="6"/>
        <v>3</v>
      </c>
    </row>
    <row r="34" spans="1:26" ht="46.25" customHeight="1" x14ac:dyDescent="0.3">
      <c r="A34" s="832">
        <v>8</v>
      </c>
      <c r="B34" s="836" t="s">
        <v>176</v>
      </c>
      <c r="C34" s="703" t="s">
        <v>46</v>
      </c>
      <c r="D34" s="703" t="s">
        <v>358</v>
      </c>
      <c r="E34" s="837" t="s">
        <v>372</v>
      </c>
      <c r="F34" s="697" t="s">
        <v>359</v>
      </c>
      <c r="G34" s="697" t="s">
        <v>360</v>
      </c>
      <c r="H34" s="697" t="s">
        <v>373</v>
      </c>
      <c r="I34" s="697" t="s">
        <v>374</v>
      </c>
      <c r="J34" s="697">
        <v>5</v>
      </c>
      <c r="K34" s="703" t="s">
        <v>82</v>
      </c>
      <c r="L34" s="670" t="s">
        <v>85</v>
      </c>
      <c r="M34" s="697"/>
      <c r="N34" s="697"/>
      <c r="O34" s="703"/>
      <c r="P34" s="834"/>
      <c r="Q34" s="838"/>
      <c r="R34" s="839"/>
      <c r="S34" s="840"/>
      <c r="T34" s="841"/>
      <c r="U34" s="842"/>
      <c r="V34" s="787">
        <v>0.3</v>
      </c>
      <c r="W34" s="731"/>
      <c r="X34" s="731"/>
      <c r="Y34" s="830">
        <f t="shared" si="5"/>
        <v>4.7</v>
      </c>
      <c r="Z34" s="831">
        <f t="shared" si="6"/>
        <v>5</v>
      </c>
    </row>
    <row r="35" spans="1:26" ht="46.25" customHeight="1" x14ac:dyDescent="0.3">
      <c r="A35" s="832">
        <v>9</v>
      </c>
      <c r="B35" s="836" t="s">
        <v>176</v>
      </c>
      <c r="C35" s="703" t="s">
        <v>46</v>
      </c>
      <c r="D35" s="703" t="s">
        <v>358</v>
      </c>
      <c r="E35" s="837" t="s">
        <v>365</v>
      </c>
      <c r="F35" s="697" t="s">
        <v>361</v>
      </c>
      <c r="G35" s="697" t="s">
        <v>362</v>
      </c>
      <c r="H35" s="697" t="s">
        <v>363</v>
      </c>
      <c r="I35" s="697" t="s">
        <v>364</v>
      </c>
      <c r="J35" s="697">
        <v>1</v>
      </c>
      <c r="K35" s="703" t="s">
        <v>82</v>
      </c>
      <c r="L35" s="670" t="s">
        <v>85</v>
      </c>
      <c r="M35" s="697"/>
      <c r="N35" s="697"/>
      <c r="O35" s="703"/>
      <c r="P35" s="834"/>
      <c r="Q35" s="838"/>
      <c r="R35" s="839"/>
      <c r="S35" s="840"/>
      <c r="T35" s="841"/>
      <c r="U35" s="842"/>
      <c r="V35" s="787">
        <v>0.4</v>
      </c>
      <c r="W35" s="731"/>
      <c r="X35" s="731"/>
      <c r="Y35" s="830">
        <f t="shared" si="5"/>
        <v>0.6</v>
      </c>
      <c r="Z35" s="831">
        <f t="shared" si="6"/>
        <v>1</v>
      </c>
    </row>
    <row r="36" spans="1:26" ht="46.25" customHeight="1" x14ac:dyDescent="0.3">
      <c r="A36" s="832">
        <v>10</v>
      </c>
      <c r="B36" s="836" t="s">
        <v>176</v>
      </c>
      <c r="C36" s="703" t="s">
        <v>46</v>
      </c>
      <c r="D36" s="703" t="s">
        <v>366</v>
      </c>
      <c r="E36" s="837" t="s">
        <v>367</v>
      </c>
      <c r="F36" s="697" t="s">
        <v>368</v>
      </c>
      <c r="G36" s="697" t="s">
        <v>369</v>
      </c>
      <c r="H36" s="697" t="s">
        <v>370</v>
      </c>
      <c r="I36" s="697" t="s">
        <v>371</v>
      </c>
      <c r="J36" s="697">
        <v>2</v>
      </c>
      <c r="K36" s="703" t="s">
        <v>23</v>
      </c>
      <c r="L36" s="678" t="s">
        <v>8</v>
      </c>
      <c r="M36" s="697"/>
      <c r="N36" s="697"/>
      <c r="O36" s="703"/>
      <c r="P36" s="834"/>
      <c r="Q36" s="838"/>
      <c r="R36" s="839"/>
      <c r="S36" s="840"/>
      <c r="T36" s="841"/>
      <c r="U36" s="842"/>
      <c r="V36" s="787"/>
      <c r="W36" s="731"/>
      <c r="X36" s="731"/>
      <c r="Y36" s="830">
        <f t="shared" si="5"/>
        <v>2</v>
      </c>
      <c r="Z36" s="831">
        <f t="shared" si="6"/>
        <v>2</v>
      </c>
    </row>
    <row r="37" spans="1:26" ht="46.25" customHeight="1" thickBot="1" x14ac:dyDescent="0.35">
      <c r="A37" s="832">
        <v>11</v>
      </c>
      <c r="B37" s="836" t="s">
        <v>176</v>
      </c>
      <c r="C37" s="703" t="s">
        <v>46</v>
      </c>
      <c r="D37" s="703" t="s">
        <v>352</v>
      </c>
      <c r="E37" s="837" t="s">
        <v>382</v>
      </c>
      <c r="F37" s="697" t="s">
        <v>426</v>
      </c>
      <c r="G37" s="697" t="s">
        <v>427</v>
      </c>
      <c r="H37" s="697" t="s">
        <v>428</v>
      </c>
      <c r="I37" s="697" t="s">
        <v>429</v>
      </c>
      <c r="J37" s="697">
        <v>3</v>
      </c>
      <c r="K37" s="703" t="s">
        <v>82</v>
      </c>
      <c r="L37" s="670" t="s">
        <v>85</v>
      </c>
      <c r="M37" s="697"/>
      <c r="N37" s="697"/>
      <c r="O37" s="703"/>
      <c r="P37" s="834"/>
      <c r="Q37" s="838"/>
      <c r="R37" s="839"/>
      <c r="S37" s="840"/>
      <c r="T37" s="841"/>
      <c r="U37" s="842"/>
      <c r="V37" s="843">
        <v>0.5</v>
      </c>
      <c r="W37" s="844"/>
      <c r="X37" s="844"/>
      <c r="Y37" s="845">
        <f t="shared" si="5"/>
        <v>2.5</v>
      </c>
      <c r="Z37" s="846">
        <f t="shared" si="6"/>
        <v>3</v>
      </c>
    </row>
    <row r="38" spans="1:26" ht="28.25" customHeight="1" x14ac:dyDescent="0.4">
      <c r="A38" s="1087" t="s">
        <v>375</v>
      </c>
      <c r="B38" s="1088"/>
      <c r="C38" s="1088"/>
      <c r="D38" s="1088"/>
      <c r="E38" s="1088"/>
      <c r="F38" s="1088"/>
      <c r="G38" s="1088"/>
      <c r="H38" s="1088"/>
      <c r="I38" s="1088"/>
      <c r="J38" s="1088"/>
      <c r="K38" s="1162"/>
      <c r="L38" s="734" t="s">
        <v>185</v>
      </c>
      <c r="M38" s="735">
        <f>SUM(J27:J27)</f>
        <v>3.05</v>
      </c>
      <c r="N38" s="736"/>
      <c r="O38" s="736"/>
      <c r="P38" s="737"/>
      <c r="Q38" s="738"/>
      <c r="R38" s="739"/>
      <c r="S38" s="739"/>
      <c r="T38" s="740"/>
      <c r="U38" s="741"/>
      <c r="V38" s="792">
        <f>SUM(V27:V31)</f>
        <v>13.55</v>
      </c>
      <c r="W38" s="792">
        <f>SUM(W27:W31)</f>
        <v>5.4</v>
      </c>
      <c r="X38" s="792">
        <f>SUM(X27:X31)</f>
        <v>2.5</v>
      </c>
      <c r="Y38" s="847">
        <f>SUM(Y27:Y31)</f>
        <v>2.0499999999999998</v>
      </c>
      <c r="Z38" s="848">
        <f t="shared" si="6"/>
        <v>23.500000000000004</v>
      </c>
    </row>
    <row r="39" spans="1:26" ht="28.25" customHeight="1" x14ac:dyDescent="0.4">
      <c r="A39" s="1089"/>
      <c r="B39" s="1090"/>
      <c r="C39" s="1090"/>
      <c r="D39" s="1090"/>
      <c r="E39" s="1090"/>
      <c r="F39" s="1090"/>
      <c r="G39" s="1090"/>
      <c r="H39" s="1090"/>
      <c r="I39" s="1090"/>
      <c r="J39" s="1090"/>
      <c r="K39" s="1163"/>
      <c r="L39" s="742" t="s">
        <v>186</v>
      </c>
      <c r="M39" s="743" t="e">
        <f>SUM(#REF!)</f>
        <v>#REF!</v>
      </c>
      <c r="N39" s="744"/>
      <c r="O39" s="744"/>
      <c r="P39" s="745"/>
      <c r="Q39" s="746"/>
      <c r="R39" s="746"/>
      <c r="S39" s="747"/>
      <c r="T39" s="746"/>
      <c r="U39" s="746"/>
      <c r="V39" s="748">
        <f>SUM(V32:V33)</f>
        <v>3</v>
      </c>
      <c r="W39" s="748">
        <f>SUM(W32:W33)</f>
        <v>0</v>
      </c>
      <c r="X39" s="748">
        <f>SUM(X32:X33)</f>
        <v>0</v>
      </c>
      <c r="Y39" s="849">
        <f>SUM(Y32:Y33)</f>
        <v>2.5</v>
      </c>
      <c r="Z39" s="831">
        <f t="shared" si="6"/>
        <v>5.5</v>
      </c>
    </row>
    <row r="40" spans="1:26" ht="28.25" customHeight="1" x14ac:dyDescent="0.4">
      <c r="A40" s="1089"/>
      <c r="B40" s="1090"/>
      <c r="C40" s="1090"/>
      <c r="D40" s="1090"/>
      <c r="E40" s="1090"/>
      <c r="F40" s="1090"/>
      <c r="G40" s="1090"/>
      <c r="H40" s="1090"/>
      <c r="I40" s="1090"/>
      <c r="J40" s="1090"/>
      <c r="K40" s="1163"/>
      <c r="L40" s="742" t="s">
        <v>187</v>
      </c>
      <c r="M40" s="749">
        <v>0</v>
      </c>
      <c r="N40" s="750"/>
      <c r="O40" s="750"/>
      <c r="P40" s="751"/>
      <c r="Q40" s="746"/>
      <c r="R40" s="746"/>
      <c r="S40" s="747"/>
      <c r="T40" s="746"/>
      <c r="U40" s="746"/>
      <c r="V40" s="748">
        <f>SUM(V34:V37)</f>
        <v>1.2</v>
      </c>
      <c r="W40" s="748">
        <f>SUM(W34:W37)</f>
        <v>0</v>
      </c>
      <c r="X40" s="748">
        <f>SUM(X34:X37)</f>
        <v>0</v>
      </c>
      <c r="Y40" s="849">
        <f>SUM(Y34:Y37)</f>
        <v>9.8000000000000007</v>
      </c>
      <c r="Z40" s="831">
        <f t="shared" si="6"/>
        <v>11</v>
      </c>
    </row>
    <row r="41" spans="1:26" ht="28.25" customHeight="1" thickBot="1" x14ac:dyDescent="0.45">
      <c r="A41" s="1091"/>
      <c r="B41" s="1092"/>
      <c r="C41" s="1092"/>
      <c r="D41" s="1092"/>
      <c r="E41" s="1092"/>
      <c r="F41" s="1092"/>
      <c r="G41" s="1092"/>
      <c r="H41" s="1092"/>
      <c r="I41" s="1092"/>
      <c r="J41" s="1092"/>
      <c r="K41" s="1164"/>
      <c r="L41" s="752" t="s">
        <v>20</v>
      </c>
      <c r="M41" s="752" t="e">
        <f>SUM(M38:M40)</f>
        <v>#REF!</v>
      </c>
      <c r="N41" s="753"/>
      <c r="O41" s="753"/>
      <c r="P41" s="754"/>
      <c r="Q41" s="850"/>
      <c r="R41" s="850"/>
      <c r="S41" s="851"/>
      <c r="T41" s="850"/>
      <c r="U41" s="850"/>
      <c r="V41" s="757">
        <f>SUM(V38:V40)</f>
        <v>17.75</v>
      </c>
      <c r="W41" s="757">
        <f>SUM(W38:W40)</f>
        <v>5.4</v>
      </c>
      <c r="X41" s="757">
        <f>SUM(X38:X40)</f>
        <v>2.5</v>
      </c>
      <c r="Y41" s="852">
        <f>SUM(Y38:Y40)</f>
        <v>14.350000000000001</v>
      </c>
      <c r="Z41" s="583">
        <f>SUM(V41:Y41)</f>
        <v>40</v>
      </c>
    </row>
    <row r="42" spans="1:26" ht="20" x14ac:dyDescent="0.4">
      <c r="M42" s="390"/>
    </row>
    <row r="44" spans="1:26" ht="34.25" customHeight="1" x14ac:dyDescent="0.3"/>
    <row r="53" spans="5:5" ht="20" x14ac:dyDescent="0.4">
      <c r="E53" s="381"/>
    </row>
  </sheetData>
  <mergeCells count="37"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  <mergeCell ref="R3:R8"/>
    <mergeCell ref="V4:Z4"/>
    <mergeCell ref="Y5:Y6"/>
    <mergeCell ref="V7:V8"/>
    <mergeCell ref="W7:W8"/>
    <mergeCell ref="X7:X8"/>
    <mergeCell ref="Y7:Y8"/>
    <mergeCell ref="V3:Z3"/>
    <mergeCell ref="Z5:Z8"/>
    <mergeCell ref="A38:K41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Z60"/>
  <sheetViews>
    <sheetView view="pageBreakPreview" topLeftCell="A27" zoomScale="40" zoomScaleNormal="40" zoomScaleSheetLayoutView="40" workbookViewId="0">
      <selection activeCell="W34" sqref="W3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8.81640625" style="1" customWidth="1"/>
    <col min="23" max="23" width="15.1796875" style="1" customWidth="1"/>
    <col min="24" max="24" width="17" style="1" customWidth="1"/>
    <col min="25" max="25" width="15.1796875" style="1" customWidth="1"/>
    <col min="26" max="26" width="17.26953125" style="1" customWidth="1"/>
    <col min="27" max="27" width="13" style="1" customWidth="1"/>
    <col min="28" max="16384" width="8.81640625" style="1"/>
  </cols>
  <sheetData>
    <row r="1" spans="1:26" ht="93.65" customHeight="1" x14ac:dyDescent="0.3">
      <c r="A1" s="977" t="s">
        <v>188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978" t="s">
        <v>33</v>
      </c>
      <c r="B3" s="981" t="s">
        <v>167</v>
      </c>
      <c r="C3" s="984" t="s">
        <v>0</v>
      </c>
      <c r="D3" s="987" t="s">
        <v>150</v>
      </c>
      <c r="E3" s="987" t="s">
        <v>2</v>
      </c>
      <c r="F3" s="987" t="s">
        <v>3</v>
      </c>
      <c r="G3" s="987"/>
      <c r="H3" s="987" t="s">
        <v>147</v>
      </c>
      <c r="I3" s="987"/>
      <c r="J3" s="963" t="s">
        <v>6</v>
      </c>
      <c r="K3" s="992" t="s">
        <v>26</v>
      </c>
      <c r="L3" s="992"/>
      <c r="M3" s="968" t="s">
        <v>27</v>
      </c>
      <c r="N3" s="968" t="s">
        <v>28</v>
      </c>
      <c r="O3" s="971" t="s">
        <v>32</v>
      </c>
      <c r="P3" s="1150" t="s">
        <v>139</v>
      </c>
      <c r="Q3" s="1153" t="s">
        <v>143</v>
      </c>
      <c r="R3" s="932" t="s">
        <v>148</v>
      </c>
      <c r="S3" s="935" t="s">
        <v>9</v>
      </c>
      <c r="T3" s="935"/>
      <c r="U3" s="954" t="s">
        <v>151</v>
      </c>
      <c r="V3" s="1189" t="s">
        <v>179</v>
      </c>
      <c r="W3" s="1143"/>
      <c r="X3" s="1143"/>
      <c r="Y3" s="1143"/>
      <c r="Z3" s="1144"/>
    </row>
    <row r="4" spans="1:26" ht="42" customHeight="1" thickBot="1" x14ac:dyDescent="0.35">
      <c r="A4" s="979"/>
      <c r="B4" s="982"/>
      <c r="C4" s="985"/>
      <c r="D4" s="988"/>
      <c r="E4" s="988"/>
      <c r="F4" s="988"/>
      <c r="G4" s="988"/>
      <c r="H4" s="988"/>
      <c r="I4" s="988"/>
      <c r="J4" s="964"/>
      <c r="K4" s="993"/>
      <c r="L4" s="993"/>
      <c r="M4" s="969"/>
      <c r="N4" s="969"/>
      <c r="O4" s="972"/>
      <c r="P4" s="1151"/>
      <c r="Q4" s="1154"/>
      <c r="R4" s="933"/>
      <c r="S4" s="936"/>
      <c r="T4" s="936"/>
      <c r="U4" s="955"/>
      <c r="V4" s="1186" t="s">
        <v>329</v>
      </c>
      <c r="W4" s="1187"/>
      <c r="X4" s="1187"/>
      <c r="Y4" s="1187"/>
      <c r="Z4" s="1188"/>
    </row>
    <row r="5" spans="1:26" ht="30" customHeight="1" x14ac:dyDescent="0.45">
      <c r="A5" s="979"/>
      <c r="B5" s="982"/>
      <c r="C5" s="985"/>
      <c r="D5" s="988"/>
      <c r="E5" s="988"/>
      <c r="F5" s="990" t="s">
        <v>4</v>
      </c>
      <c r="G5" s="990" t="s">
        <v>5</v>
      </c>
      <c r="H5" s="990" t="s">
        <v>4</v>
      </c>
      <c r="I5" s="990" t="s">
        <v>5</v>
      </c>
      <c r="J5" s="964"/>
      <c r="K5" s="966" t="s">
        <v>7</v>
      </c>
      <c r="L5" s="212" t="s">
        <v>14</v>
      </c>
      <c r="M5" s="969"/>
      <c r="N5" s="969"/>
      <c r="O5" s="972"/>
      <c r="P5" s="1151"/>
      <c r="Q5" s="1154"/>
      <c r="R5" s="933"/>
      <c r="S5" s="941" t="s">
        <v>10</v>
      </c>
      <c r="T5" s="943" t="s">
        <v>11</v>
      </c>
      <c r="U5" s="955"/>
      <c r="V5" s="945" t="s">
        <v>181</v>
      </c>
      <c r="W5" s="945" t="s">
        <v>182</v>
      </c>
      <c r="X5" s="945" t="s">
        <v>183</v>
      </c>
      <c r="Y5" s="945" t="s">
        <v>184</v>
      </c>
      <c r="Z5" s="1190" t="s">
        <v>11</v>
      </c>
    </row>
    <row r="6" spans="1:26" ht="30" customHeight="1" x14ac:dyDescent="0.45">
      <c r="A6" s="979"/>
      <c r="B6" s="982"/>
      <c r="C6" s="985"/>
      <c r="D6" s="988"/>
      <c r="E6" s="988"/>
      <c r="F6" s="990"/>
      <c r="G6" s="990"/>
      <c r="H6" s="990"/>
      <c r="I6" s="990"/>
      <c r="J6" s="964"/>
      <c r="K6" s="966"/>
      <c r="L6" s="213" t="s">
        <v>15</v>
      </c>
      <c r="M6" s="969"/>
      <c r="N6" s="969"/>
      <c r="O6" s="972"/>
      <c r="P6" s="1151"/>
      <c r="Q6" s="1154"/>
      <c r="R6" s="933"/>
      <c r="S6" s="941"/>
      <c r="T6" s="943"/>
      <c r="U6" s="955"/>
      <c r="V6" s="947"/>
      <c r="W6" s="947"/>
      <c r="X6" s="947"/>
      <c r="Y6" s="947"/>
      <c r="Z6" s="1191"/>
    </row>
    <row r="7" spans="1:26" ht="30" customHeight="1" x14ac:dyDescent="0.45">
      <c r="A7" s="979"/>
      <c r="B7" s="982"/>
      <c r="C7" s="985"/>
      <c r="D7" s="988"/>
      <c r="E7" s="988"/>
      <c r="F7" s="990"/>
      <c r="G7" s="990"/>
      <c r="H7" s="990"/>
      <c r="I7" s="990"/>
      <c r="J7" s="964"/>
      <c r="K7" s="966"/>
      <c r="L7" s="214" t="s">
        <v>16</v>
      </c>
      <c r="M7" s="969"/>
      <c r="N7" s="969"/>
      <c r="O7" s="972"/>
      <c r="P7" s="1151"/>
      <c r="Q7" s="1154"/>
      <c r="R7" s="933"/>
      <c r="S7" s="941"/>
      <c r="T7" s="943"/>
      <c r="U7" s="955"/>
      <c r="V7" s="957" t="s">
        <v>180</v>
      </c>
      <c r="W7" s="957" t="s">
        <v>13</v>
      </c>
      <c r="X7" s="917" t="s">
        <v>13</v>
      </c>
      <c r="Y7" s="921" t="s">
        <v>13</v>
      </c>
      <c r="Z7" s="1191"/>
    </row>
    <row r="8" spans="1:26" ht="30" customHeight="1" thickBot="1" x14ac:dyDescent="0.5">
      <c r="A8" s="980"/>
      <c r="B8" s="983"/>
      <c r="C8" s="986"/>
      <c r="D8" s="989"/>
      <c r="E8" s="989"/>
      <c r="F8" s="991"/>
      <c r="G8" s="991"/>
      <c r="H8" s="991"/>
      <c r="I8" s="991"/>
      <c r="J8" s="965"/>
      <c r="K8" s="967"/>
      <c r="L8" s="410"/>
      <c r="M8" s="970"/>
      <c r="N8" s="970"/>
      <c r="O8" s="973"/>
      <c r="P8" s="1152"/>
      <c r="Q8" s="1155"/>
      <c r="R8" s="934"/>
      <c r="S8" s="942"/>
      <c r="T8" s="944"/>
      <c r="U8" s="956"/>
      <c r="V8" s="958"/>
      <c r="W8" s="958"/>
      <c r="X8" s="918"/>
      <c r="Y8" s="922"/>
      <c r="Z8" s="1191"/>
    </row>
    <row r="9" spans="1:26" ht="48.65" hidden="1" customHeight="1" thickBot="1" x14ac:dyDescent="0.4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403">
        <f>(M9/N9)*O9</f>
        <v>1765.3022697512006</v>
      </c>
      <c r="Q9" s="397"/>
      <c r="R9" s="227"/>
      <c r="S9" s="228">
        <v>5000</v>
      </c>
      <c r="T9" s="221"/>
      <c r="U9" s="229"/>
      <c r="V9" s="220"/>
      <c r="W9" s="220"/>
      <c r="X9" s="231" t="e">
        <f>5000*#REF!</f>
        <v>#REF!</v>
      </c>
      <c r="Y9" s="554" t="e">
        <f>5000*#REF!</f>
        <v>#REF!</v>
      </c>
      <c r="Z9" s="567"/>
    </row>
    <row r="10" spans="1:26" ht="48.65" hidden="1" customHeight="1" thickBot="1" x14ac:dyDescent="0.4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0">(J10*2)+$O$2</f>
        <v>14.57</v>
      </c>
      <c r="P10" s="404">
        <f t="shared" ref="P10:P25" si="1">(M10/N10)*O10</f>
        <v>1565.218280321566</v>
      </c>
      <c r="Q10" s="398"/>
      <c r="R10" s="149"/>
      <c r="S10" s="136">
        <v>5000</v>
      </c>
      <c r="T10" s="142"/>
      <c r="U10" s="137"/>
      <c r="V10" s="145"/>
      <c r="W10" s="145"/>
      <c r="X10" s="138" t="e">
        <f>5000*#REF!</f>
        <v>#REF!</v>
      </c>
      <c r="Y10" s="554" t="e">
        <f>5000*#REF!</f>
        <v>#REF!</v>
      </c>
      <c r="Z10" s="567"/>
    </row>
    <row r="11" spans="1:26" ht="48.65" hidden="1" customHeight="1" thickBot="1" x14ac:dyDescent="0.4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0"/>
        <v>22.57</v>
      </c>
      <c r="P11" s="404">
        <f t="shared" si="1"/>
        <v>577.24744716219425</v>
      </c>
      <c r="Q11" s="398"/>
      <c r="R11" s="149"/>
      <c r="S11" s="136">
        <v>5000</v>
      </c>
      <c r="T11" s="142"/>
      <c r="U11" s="137"/>
      <c r="V11" s="145"/>
      <c r="W11" s="145"/>
      <c r="X11" s="138" t="e">
        <f>5000*#REF!</f>
        <v>#REF!</v>
      </c>
      <c r="Y11" s="554" t="e">
        <f>5000*#REF!</f>
        <v>#REF!</v>
      </c>
      <c r="Z11" s="567"/>
    </row>
    <row r="12" spans="1:26" ht="48.65" hidden="1" customHeight="1" thickBot="1" x14ac:dyDescent="0.4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0"/>
        <v>6.57</v>
      </c>
      <c r="P12" s="404">
        <f t="shared" si="1"/>
        <v>880.36796109662419</v>
      </c>
      <c r="Q12" s="398"/>
      <c r="R12" s="149"/>
      <c r="S12" s="136">
        <v>5000</v>
      </c>
      <c r="T12" s="142"/>
      <c r="U12" s="137"/>
      <c r="V12" s="145"/>
      <c r="W12" s="145"/>
      <c r="X12" s="138" t="e">
        <f>5000*#REF!</f>
        <v>#REF!</v>
      </c>
      <c r="Y12" s="554" t="e">
        <f>5000*#REF!</f>
        <v>#REF!</v>
      </c>
      <c r="Z12" s="567"/>
    </row>
    <row r="13" spans="1:26" ht="48.65" hidden="1" customHeight="1" x14ac:dyDescent="0.4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0"/>
        <v>3.5700000000000003</v>
      </c>
      <c r="P13" s="404">
        <f t="shared" si="1"/>
        <v>478.37345831277759</v>
      </c>
      <c r="Q13" s="398"/>
      <c r="R13" s="149"/>
      <c r="S13" s="136">
        <v>5000</v>
      </c>
      <c r="T13" s="142"/>
      <c r="U13" s="137"/>
      <c r="V13" s="145"/>
      <c r="W13" s="145"/>
      <c r="X13" s="138" t="e">
        <f>5000*#REF!</f>
        <v>#REF!</v>
      </c>
      <c r="Y13" s="554" t="e">
        <f>5000*#REF!</f>
        <v>#REF!</v>
      </c>
      <c r="Z13" s="567"/>
    </row>
    <row r="14" spans="1:26" ht="48.65" hidden="1" customHeight="1" thickBot="1" x14ac:dyDescent="0.4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0"/>
        <v>15.57</v>
      </c>
      <c r="P14" s="404">
        <f t="shared" si="1"/>
        <v>1609.8889809444904</v>
      </c>
      <c r="Q14" s="398"/>
      <c r="R14" s="149"/>
      <c r="S14" s="136">
        <v>5000</v>
      </c>
      <c r="T14" s="142"/>
      <c r="U14" s="137"/>
      <c r="V14" s="145"/>
      <c r="W14" s="145"/>
      <c r="X14" s="270"/>
      <c r="Y14" s="555" t="e">
        <f>5000*#REF!</f>
        <v>#REF!</v>
      </c>
      <c r="Z14" s="567"/>
    </row>
    <row r="15" spans="1:26" ht="48.65" hidden="1" customHeight="1" x14ac:dyDescent="0.4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90"/>
      <c r="G15" s="190"/>
      <c r="H15" s="190"/>
      <c r="I15" s="190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0"/>
        <v>6.87</v>
      </c>
      <c r="P15" s="404">
        <f t="shared" si="1"/>
        <v>560.80988825960503</v>
      </c>
      <c r="Q15" s="398"/>
      <c r="R15" s="149"/>
      <c r="S15" s="136">
        <v>5000</v>
      </c>
      <c r="T15" s="142"/>
      <c r="U15" s="137"/>
      <c r="V15" s="145"/>
      <c r="W15" s="145"/>
      <c r="X15" s="138" t="e">
        <f>5000*#REF!</f>
        <v>#REF!</v>
      </c>
      <c r="Y15" s="555" t="e">
        <f>5000*#REF!</f>
        <v>#REF!</v>
      </c>
      <c r="Z15" s="567"/>
    </row>
    <row r="16" spans="1:26" ht="48.65" hidden="1" customHeight="1" x14ac:dyDescent="0.4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0"/>
        <v>6.9700000000000006</v>
      </c>
      <c r="P16" s="404">
        <f t="shared" si="1"/>
        <v>199.74167832167834</v>
      </c>
      <c r="Q16" s="398"/>
      <c r="R16" s="149"/>
      <c r="S16" s="136">
        <v>5000</v>
      </c>
      <c r="T16" s="157"/>
      <c r="U16" s="137"/>
      <c r="V16" s="145"/>
      <c r="W16" s="145"/>
      <c r="X16" s="270"/>
      <c r="Y16" s="555" t="e">
        <f>5000*#REF!</f>
        <v>#REF!</v>
      </c>
      <c r="Z16" s="567"/>
    </row>
    <row r="17" spans="1:26" ht="48.65" hidden="1" customHeight="1" thickBot="1" x14ac:dyDescent="0.4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0"/>
        <v>6.9700000000000006</v>
      </c>
      <c r="P17" s="404">
        <f t="shared" si="1"/>
        <v>239.7788693957115</v>
      </c>
      <c r="Q17" s="398"/>
      <c r="R17" s="149"/>
      <c r="S17" s="136">
        <v>5000</v>
      </c>
      <c r="T17" s="157"/>
      <c r="U17" s="137"/>
      <c r="V17" s="145"/>
      <c r="W17" s="145"/>
      <c r="X17" s="270"/>
      <c r="Y17" s="555" t="e">
        <f>5000*#REF!</f>
        <v>#REF!</v>
      </c>
      <c r="Z17" s="567"/>
    </row>
    <row r="18" spans="1:26" ht="48.65" hidden="1" customHeight="1" x14ac:dyDescent="0.4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0"/>
        <v>6.17</v>
      </c>
      <c r="P18" s="404">
        <f t="shared" si="1"/>
        <v>212.25762183235867</v>
      </c>
      <c r="Q18" s="398"/>
      <c r="R18" s="149"/>
      <c r="S18" s="136">
        <v>5000</v>
      </c>
      <c r="T18" s="142"/>
      <c r="U18" s="137"/>
      <c r="V18" s="145"/>
      <c r="W18" s="145"/>
      <c r="X18" s="270"/>
      <c r="Y18" s="555" t="e">
        <f>5000*#REF!</f>
        <v>#REF!</v>
      </c>
      <c r="Z18" s="567"/>
    </row>
    <row r="19" spans="1:26" ht="48.65" hidden="1" customHeight="1" x14ac:dyDescent="0.4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0"/>
        <v>5.57</v>
      </c>
      <c r="P19" s="404">
        <f t="shared" si="1"/>
        <v>159.6213986013986</v>
      </c>
      <c r="Q19" s="398"/>
      <c r="R19" s="149"/>
      <c r="S19" s="136">
        <v>5000</v>
      </c>
      <c r="T19" s="142"/>
      <c r="U19" s="137"/>
      <c r="V19" s="145"/>
      <c r="W19" s="145"/>
      <c r="X19" s="270"/>
      <c r="Y19" s="555" t="e">
        <f>5000*#REF!</f>
        <v>#REF!</v>
      </c>
      <c r="Z19" s="567"/>
    </row>
    <row r="20" spans="1:26" ht="48.65" hidden="1" customHeight="1" thickBot="1" x14ac:dyDescent="0.4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90">
        <v>126.94337899999999</v>
      </c>
      <c r="G20" s="190">
        <v>-8.5426549999999999</v>
      </c>
      <c r="H20" s="190">
        <v>126.93016</v>
      </c>
      <c r="I20" s="190">
        <v>-8.5536960000000004</v>
      </c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0"/>
        <v>6.9700000000000006</v>
      </c>
      <c r="P20" s="404">
        <f t="shared" si="1"/>
        <v>660.22281105990794</v>
      </c>
      <c r="Q20" s="398"/>
      <c r="R20" s="149"/>
      <c r="S20" s="136">
        <v>5000</v>
      </c>
      <c r="T20" s="142"/>
      <c r="U20" s="165"/>
      <c r="V20" s="148"/>
      <c r="W20" s="148"/>
      <c r="X20" s="138" t="e">
        <f>5000*#REF!</f>
        <v>#REF!</v>
      </c>
      <c r="Y20" s="555" t="e">
        <f>5000*#REF!</f>
        <v>#REF!</v>
      </c>
      <c r="Z20" s="567"/>
    </row>
    <row r="21" spans="1:26" ht="48.65" hidden="1" customHeight="1" x14ac:dyDescent="0.4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0"/>
        <v>4.97</v>
      </c>
      <c r="P21" s="404">
        <f t="shared" si="1"/>
        <v>170.97575048732941</v>
      </c>
      <c r="Q21" s="398"/>
      <c r="R21" s="149"/>
      <c r="S21" s="136">
        <v>5000</v>
      </c>
      <c r="T21" s="142"/>
      <c r="U21" s="165"/>
      <c r="V21" s="148"/>
      <c r="W21" s="148"/>
      <c r="X21" s="138" t="e">
        <f>5000*#REF!</f>
        <v>#REF!</v>
      </c>
      <c r="Y21" s="555" t="e">
        <f>5000*#REF!</f>
        <v>#REF!</v>
      </c>
      <c r="Z21" s="567"/>
    </row>
    <row r="22" spans="1:26" ht="48.65" hidden="1" customHeight="1" x14ac:dyDescent="0.4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0"/>
        <v>5.57</v>
      </c>
      <c r="P22" s="404">
        <f t="shared" si="1"/>
        <v>191.61668615984405</v>
      </c>
      <c r="Q22" s="398"/>
      <c r="R22" s="149"/>
      <c r="S22" s="136">
        <v>5000</v>
      </c>
      <c r="T22" s="142"/>
      <c r="U22" s="165"/>
      <c r="V22" s="148"/>
      <c r="W22" s="148"/>
      <c r="X22" s="138" t="e">
        <f>5000*#REF!</f>
        <v>#REF!</v>
      </c>
      <c r="Y22" s="555" t="e">
        <f>5000*#REF!</f>
        <v>#REF!</v>
      </c>
      <c r="Z22" s="567"/>
    </row>
    <row r="23" spans="1:26" ht="48.65" hidden="1" customHeight="1" thickBot="1" x14ac:dyDescent="0.4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0"/>
        <v>5.57</v>
      </c>
      <c r="P23" s="404">
        <f t="shared" si="1"/>
        <v>159.6213986013986</v>
      </c>
      <c r="Q23" s="398"/>
      <c r="R23" s="149"/>
      <c r="S23" s="136">
        <v>5000</v>
      </c>
      <c r="T23" s="142"/>
      <c r="U23" s="165"/>
      <c r="V23" s="148"/>
      <c r="W23" s="148"/>
      <c r="X23" s="138" t="e">
        <f>5000*#REF!</f>
        <v>#REF!</v>
      </c>
      <c r="Y23" s="555" t="e">
        <f>5000*#REF!</f>
        <v>#REF!</v>
      </c>
      <c r="Z23" s="567"/>
    </row>
    <row r="24" spans="1:26" ht="48.65" hidden="1" customHeight="1" x14ac:dyDescent="0.4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0"/>
        <v>5.57</v>
      </c>
      <c r="P24" s="404">
        <f t="shared" si="1"/>
        <v>159.6213986013986</v>
      </c>
      <c r="Q24" s="398"/>
      <c r="R24" s="149"/>
      <c r="S24" s="136">
        <v>5000</v>
      </c>
      <c r="T24" s="142"/>
      <c r="U24" s="165"/>
      <c r="V24" s="148"/>
      <c r="W24" s="148"/>
      <c r="X24" s="138" t="e">
        <f>5000*#REF!</f>
        <v>#REF!</v>
      </c>
      <c r="Y24" s="555" t="e">
        <f>5000*#REF!</f>
        <v>#REF!</v>
      </c>
      <c r="Z24" s="567"/>
    </row>
    <row r="25" spans="1:26" ht="48.65" hidden="1" customHeight="1" x14ac:dyDescent="0.4">
      <c r="A25" s="430">
        <v>17</v>
      </c>
      <c r="B25" s="431" t="s">
        <v>42</v>
      </c>
      <c r="C25" s="385" t="s">
        <v>46</v>
      </c>
      <c r="D25" s="385" t="s">
        <v>62</v>
      </c>
      <c r="E25" s="432" t="s">
        <v>81</v>
      </c>
      <c r="F25" s="385"/>
      <c r="G25" s="385"/>
      <c r="H25" s="385"/>
      <c r="I25" s="385"/>
      <c r="J25" s="433">
        <v>2.7</v>
      </c>
      <c r="K25" s="385" t="s">
        <v>82</v>
      </c>
      <c r="L25" s="434" t="s">
        <v>25</v>
      </c>
      <c r="M25" s="416">
        <v>2049</v>
      </c>
      <c r="N25" s="205">
        <v>71.5</v>
      </c>
      <c r="O25" s="435">
        <f t="shared" si="0"/>
        <v>6.9700000000000006</v>
      </c>
      <c r="P25" s="406">
        <f t="shared" si="1"/>
        <v>199.74167832167834</v>
      </c>
      <c r="Q25" s="436"/>
      <c r="R25" s="208"/>
      <c r="S25" s="437">
        <v>5000</v>
      </c>
      <c r="T25" s="385"/>
      <c r="U25" s="210"/>
      <c r="V25" s="218"/>
      <c r="W25" s="218"/>
      <c r="X25" s="438" t="e">
        <f>5000*#REF!</f>
        <v>#REF!</v>
      </c>
      <c r="Y25" s="564" t="e">
        <f>5000*#REF!</f>
        <v>#REF!</v>
      </c>
      <c r="Z25" s="581"/>
    </row>
    <row r="26" spans="1:26" ht="18" customHeight="1" x14ac:dyDescent="0.4">
      <c r="A26" s="439"/>
      <c r="B26" s="440"/>
      <c r="C26" s="441"/>
      <c r="D26" s="441"/>
      <c r="E26" s="441"/>
      <c r="F26" s="441"/>
      <c r="G26" s="441"/>
      <c r="H26" s="441"/>
      <c r="I26" s="441"/>
      <c r="J26" s="442"/>
      <c r="K26" s="441"/>
      <c r="L26" s="443"/>
      <c r="M26" s="444"/>
      <c r="N26" s="444"/>
      <c r="O26" s="444"/>
      <c r="P26" s="445"/>
      <c r="Q26" s="446"/>
      <c r="R26" s="447"/>
      <c r="S26" s="448"/>
      <c r="T26" s="441"/>
      <c r="U26" s="441"/>
      <c r="V26" s="442"/>
      <c r="W26" s="442"/>
      <c r="X26" s="442"/>
      <c r="Y26" s="565"/>
      <c r="Z26" s="582"/>
    </row>
    <row r="27" spans="1:26" ht="46.25" customHeight="1" x14ac:dyDescent="0.3">
      <c r="A27" s="155">
        <v>1</v>
      </c>
      <c r="B27" s="160" t="s">
        <v>92</v>
      </c>
      <c r="C27" s="142" t="s">
        <v>44</v>
      </c>
      <c r="D27" s="142" t="s">
        <v>122</v>
      </c>
      <c r="E27" s="161" t="s">
        <v>189</v>
      </c>
      <c r="F27" s="190">
        <v>126.83092600000001</v>
      </c>
      <c r="G27" s="190">
        <v>-8.4245789999999996</v>
      </c>
      <c r="H27" s="190">
        <v>126.888716</v>
      </c>
      <c r="I27" s="190">
        <v>-8.4564819999999994</v>
      </c>
      <c r="J27" s="145">
        <v>10</v>
      </c>
      <c r="K27" s="191" t="s">
        <v>145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34" si="2">(J27*2)+$O$2</f>
        <v>21.57</v>
      </c>
      <c r="P27" s="404">
        <f>(M27/N27)*O27</f>
        <v>2429.1383047908089</v>
      </c>
      <c r="Q27" s="400" t="e">
        <f>(P27*R27)/S27</f>
        <v>#DIV/0!</v>
      </c>
      <c r="R27" s="382">
        <v>20</v>
      </c>
      <c r="S27" s="384"/>
      <c r="T27" s="383">
        <f>586662.11+377898.71+388493.24+358697.82</f>
        <v>1711751.8800000001</v>
      </c>
      <c r="U27" s="195">
        <v>1</v>
      </c>
      <c r="V27" s="411"/>
      <c r="W27" s="412"/>
      <c r="X27" s="412"/>
      <c r="Y27" s="557">
        <f>J27-V27-W27-X27</f>
        <v>10</v>
      </c>
      <c r="Z27" s="568">
        <f>SUM(V27:Y27)</f>
        <v>10</v>
      </c>
    </row>
    <row r="28" spans="1:26" ht="46.25" customHeight="1" x14ac:dyDescent="0.3">
      <c r="A28" s="155">
        <v>2</v>
      </c>
      <c r="B28" s="141" t="s">
        <v>42</v>
      </c>
      <c r="C28" s="165" t="s">
        <v>44</v>
      </c>
      <c r="D28" s="165" t="s">
        <v>131</v>
      </c>
      <c r="E28" s="177" t="s">
        <v>206</v>
      </c>
      <c r="F28" s="200">
        <v>126.976018</v>
      </c>
      <c r="G28" s="200">
        <v>-8.3452190000000002</v>
      </c>
      <c r="H28" s="200">
        <v>127.022965</v>
      </c>
      <c r="I28" s="200">
        <v>-8.3686530000000001</v>
      </c>
      <c r="J28" s="145">
        <v>7.5</v>
      </c>
      <c r="K28" s="143" t="s">
        <v>146</v>
      </c>
      <c r="L28" s="156" t="s">
        <v>8</v>
      </c>
      <c r="M28" s="145">
        <f>3376+1819+952</f>
        <v>6147</v>
      </c>
      <c r="N28" s="145">
        <f>22.73+23.09+11.4</f>
        <v>57.22</v>
      </c>
      <c r="O28" s="165">
        <f t="shared" si="2"/>
        <v>16.57</v>
      </c>
      <c r="P28" s="404">
        <f t="shared" ref="P28:P34" si="3">(M28/N28)*O28</f>
        <v>1780.0732261447047</v>
      </c>
      <c r="Q28" s="401" t="e">
        <f t="shared" ref="Q28:Q34" si="4">(P28*R28)/S28</f>
        <v>#DIV/0!</v>
      </c>
      <c r="R28" s="149">
        <v>18</v>
      </c>
      <c r="S28" s="149"/>
      <c r="T28" s="199"/>
      <c r="U28" s="181">
        <v>2</v>
      </c>
      <c r="V28" s="411"/>
      <c r="W28" s="412"/>
      <c r="X28" s="412">
        <v>7.5</v>
      </c>
      <c r="Y28" s="557">
        <f t="shared" ref="Y28:Y34" si="5">J28-V28-W28-X28</f>
        <v>0</v>
      </c>
      <c r="Z28" s="568">
        <f t="shared" ref="Z28:Z47" si="6">SUM(V28:Y28)</f>
        <v>7.5</v>
      </c>
    </row>
    <row r="29" spans="1:26" ht="46.25" customHeight="1" x14ac:dyDescent="0.3">
      <c r="A29" s="155">
        <v>3</v>
      </c>
      <c r="B29" s="160" t="s">
        <v>90</v>
      </c>
      <c r="C29" s="142" t="s">
        <v>44</v>
      </c>
      <c r="D29" s="142" t="s">
        <v>121</v>
      </c>
      <c r="E29" s="161" t="s">
        <v>115</v>
      </c>
      <c r="F29" s="190">
        <v>126.93129999999999</v>
      </c>
      <c r="G29" s="190">
        <v>-8.3599370000000004</v>
      </c>
      <c r="H29" s="190">
        <v>126.976018</v>
      </c>
      <c r="I29" s="190">
        <v>-8.3452190000000002</v>
      </c>
      <c r="J29" s="145">
        <v>7.9</v>
      </c>
      <c r="K29" s="143" t="s">
        <v>24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2"/>
        <v>17.37</v>
      </c>
      <c r="P29" s="404">
        <f t="shared" si="3"/>
        <v>1636.2227027027029</v>
      </c>
      <c r="Q29" s="401" t="e">
        <f t="shared" si="4"/>
        <v>#DIV/0!</v>
      </c>
      <c r="R29" s="149">
        <v>20</v>
      </c>
      <c r="S29" s="149"/>
      <c r="T29" s="199"/>
      <c r="U29" s="181">
        <v>3</v>
      </c>
      <c r="V29" s="411"/>
      <c r="W29" s="412"/>
      <c r="X29" s="412"/>
      <c r="Y29" s="557">
        <f t="shared" si="5"/>
        <v>7.9</v>
      </c>
      <c r="Z29" s="568">
        <f t="shared" si="6"/>
        <v>7.9</v>
      </c>
    </row>
    <row r="30" spans="1:26" ht="46.25" customHeight="1" x14ac:dyDescent="0.3">
      <c r="A30" s="155">
        <v>4</v>
      </c>
      <c r="B30" s="163" t="s">
        <v>42</v>
      </c>
      <c r="C30" s="142" t="s">
        <v>44</v>
      </c>
      <c r="D30" s="142" t="s">
        <v>126</v>
      </c>
      <c r="E30" s="179" t="s">
        <v>105</v>
      </c>
      <c r="F30" s="199">
        <v>126.882902</v>
      </c>
      <c r="G30" s="199">
        <v>-8.4679020000000005</v>
      </c>
      <c r="H30" s="199">
        <v>126.885096</v>
      </c>
      <c r="I30" s="199">
        <v>-8.4903739999999992</v>
      </c>
      <c r="J30" s="145">
        <v>3.5</v>
      </c>
      <c r="K30" s="179" t="s">
        <v>84</v>
      </c>
      <c r="L30" s="156" t="s">
        <v>8</v>
      </c>
      <c r="M30" s="145">
        <f>3376+1819</f>
        <v>5195</v>
      </c>
      <c r="N30" s="145">
        <f>22.73+23.09</f>
        <v>45.82</v>
      </c>
      <c r="O30" s="165">
        <f t="shared" si="2"/>
        <v>8.57</v>
      </c>
      <c r="P30" s="404">
        <f>(M30/N30)*O30</f>
        <v>971.65320820602369</v>
      </c>
      <c r="Q30" s="401" t="e">
        <f>(P30*R30)/S30</f>
        <v>#DIV/0!</v>
      </c>
      <c r="R30" s="149"/>
      <c r="S30" s="149"/>
      <c r="T30" s="199"/>
      <c r="U30" s="181">
        <v>19</v>
      </c>
      <c r="V30" s="411"/>
      <c r="W30" s="412"/>
      <c r="X30" s="411"/>
      <c r="Y30" s="557">
        <f t="shared" si="5"/>
        <v>3.5</v>
      </c>
      <c r="Z30" s="568">
        <f t="shared" si="6"/>
        <v>3.5</v>
      </c>
    </row>
    <row r="31" spans="1:26" ht="46.25" customHeight="1" x14ac:dyDescent="0.3">
      <c r="A31" s="155">
        <v>5</v>
      </c>
      <c r="B31" s="160" t="s">
        <v>89</v>
      </c>
      <c r="C31" s="142" t="s">
        <v>44</v>
      </c>
      <c r="D31" s="142" t="s">
        <v>134</v>
      </c>
      <c r="E31" s="179" t="s">
        <v>114</v>
      </c>
      <c r="F31" s="199">
        <v>126.911095</v>
      </c>
      <c r="G31" s="199">
        <v>-8.4023389999999996</v>
      </c>
      <c r="H31" s="190">
        <v>126.93129999999999</v>
      </c>
      <c r="I31" s="190">
        <v>-8.3599370000000004</v>
      </c>
      <c r="J31" s="145">
        <v>5.7</v>
      </c>
      <c r="K31" s="143" t="s">
        <v>24</v>
      </c>
      <c r="L31" s="156" t="s">
        <v>8</v>
      </c>
      <c r="M31" s="145">
        <v>3450</v>
      </c>
      <c r="N31" s="145">
        <f>43.4</f>
        <v>43.4</v>
      </c>
      <c r="O31" s="165">
        <f t="shared" si="2"/>
        <v>12.97</v>
      </c>
      <c r="P31" s="404">
        <f t="shared" si="3"/>
        <v>1031.0253456221199</v>
      </c>
      <c r="Q31" s="401" t="e">
        <f t="shared" si="4"/>
        <v>#DIV/0!</v>
      </c>
      <c r="R31" s="149"/>
      <c r="S31" s="208"/>
      <c r="T31" s="199"/>
      <c r="U31" s="181">
        <v>20</v>
      </c>
      <c r="V31" s="411">
        <v>1.73</v>
      </c>
      <c r="W31" s="412"/>
      <c r="X31" s="411"/>
      <c r="Y31" s="557">
        <f t="shared" si="5"/>
        <v>3.97</v>
      </c>
      <c r="Z31" s="568">
        <f t="shared" si="6"/>
        <v>5.7</v>
      </c>
    </row>
    <row r="32" spans="1:26" ht="46.25" customHeight="1" x14ac:dyDescent="0.3">
      <c r="A32" s="155">
        <v>6</v>
      </c>
      <c r="B32" s="160" t="s">
        <v>88</v>
      </c>
      <c r="C32" s="142" t="s">
        <v>44</v>
      </c>
      <c r="D32" s="142" t="s">
        <v>132</v>
      </c>
      <c r="E32" s="161" t="s">
        <v>190</v>
      </c>
      <c r="F32" s="190">
        <v>126.848935</v>
      </c>
      <c r="G32" s="190">
        <v>-8.5179659999999995</v>
      </c>
      <c r="H32" s="190">
        <v>126.888716</v>
      </c>
      <c r="I32" s="190">
        <v>-8.4564819999999994</v>
      </c>
      <c r="J32" s="145">
        <v>9</v>
      </c>
      <c r="K32" s="143" t="s">
        <v>135</v>
      </c>
      <c r="L32" s="201" t="s">
        <v>25</v>
      </c>
      <c r="M32" s="145">
        <v>3345</v>
      </c>
      <c r="N32" s="145">
        <v>82.14</v>
      </c>
      <c r="O32" s="165">
        <f t="shared" si="2"/>
        <v>19.57</v>
      </c>
      <c r="P32" s="404">
        <f t="shared" si="3"/>
        <v>796.95215485756034</v>
      </c>
      <c r="Q32" s="401" t="e">
        <f t="shared" si="4"/>
        <v>#DIV/0!</v>
      </c>
      <c r="R32" s="149"/>
      <c r="S32" s="149"/>
      <c r="T32" s="199"/>
      <c r="U32" s="209">
        <v>21</v>
      </c>
      <c r="V32" s="413">
        <v>6.21</v>
      </c>
      <c r="W32" s="412"/>
      <c r="X32" s="411"/>
      <c r="Y32" s="557">
        <f t="shared" si="5"/>
        <v>2.79</v>
      </c>
      <c r="Z32" s="568">
        <f t="shared" si="6"/>
        <v>9</v>
      </c>
    </row>
    <row r="33" spans="1:26" ht="46.25" customHeight="1" x14ac:dyDescent="0.3">
      <c r="A33" s="155">
        <v>7</v>
      </c>
      <c r="B33" s="160" t="s">
        <v>91</v>
      </c>
      <c r="C33" s="142" t="s">
        <v>44</v>
      </c>
      <c r="D33" s="142" t="s">
        <v>121</v>
      </c>
      <c r="E33" s="161" t="s">
        <v>116</v>
      </c>
      <c r="F33" s="190">
        <v>126.918738</v>
      </c>
      <c r="G33" s="190">
        <v>-8.3512190000000004</v>
      </c>
      <c r="H33" s="190">
        <v>126.93129999999999</v>
      </c>
      <c r="I33" s="190">
        <v>-8.3599370000000004</v>
      </c>
      <c r="J33" s="145">
        <v>2.1</v>
      </c>
      <c r="K33" s="143" t="s">
        <v>135</v>
      </c>
      <c r="L33" s="201" t="s">
        <v>25</v>
      </c>
      <c r="M33" s="205">
        <v>2789</v>
      </c>
      <c r="N33" s="205">
        <v>119.69</v>
      </c>
      <c r="O33" s="210">
        <f t="shared" si="2"/>
        <v>5.7700000000000005</v>
      </c>
      <c r="P33" s="406">
        <f t="shared" si="3"/>
        <v>134.45175035508396</v>
      </c>
      <c r="Q33" s="402" t="e">
        <f t="shared" si="4"/>
        <v>#DIV/0!</v>
      </c>
      <c r="R33" s="208"/>
      <c r="S33" s="208"/>
      <c r="T33" s="387"/>
      <c r="U33" s="209">
        <v>22</v>
      </c>
      <c r="V33" s="413">
        <v>2.1</v>
      </c>
      <c r="W33" s="412"/>
      <c r="X33" s="413"/>
      <c r="Y33" s="557">
        <f t="shared" si="5"/>
        <v>0</v>
      </c>
      <c r="Z33" s="568">
        <f t="shared" si="6"/>
        <v>2.1</v>
      </c>
    </row>
    <row r="34" spans="1:26" ht="46.25" customHeight="1" x14ac:dyDescent="0.3">
      <c r="A34" s="155">
        <v>8</v>
      </c>
      <c r="B34" s="145" t="s">
        <v>42</v>
      </c>
      <c r="C34" s="142" t="s">
        <v>44</v>
      </c>
      <c r="D34" s="142" t="s">
        <v>191</v>
      </c>
      <c r="E34" s="143" t="s">
        <v>192</v>
      </c>
      <c r="F34" s="190" t="s">
        <v>202</v>
      </c>
      <c r="G34" s="190" t="s">
        <v>203</v>
      </c>
      <c r="H34" s="204" t="s">
        <v>204</v>
      </c>
      <c r="I34" s="204" t="s">
        <v>205</v>
      </c>
      <c r="J34" s="412">
        <v>7.25</v>
      </c>
      <c r="K34" s="143" t="s">
        <v>135</v>
      </c>
      <c r="L34" s="201" t="s">
        <v>25</v>
      </c>
      <c r="M34" s="145">
        <v>3450</v>
      </c>
      <c r="N34" s="145">
        <v>119.69</v>
      </c>
      <c r="O34" s="165">
        <f t="shared" si="2"/>
        <v>16.07</v>
      </c>
      <c r="P34" s="404">
        <f t="shared" si="3"/>
        <v>463.20912356922048</v>
      </c>
      <c r="Q34" s="401" t="e">
        <f t="shared" si="4"/>
        <v>#DIV/0!</v>
      </c>
      <c r="R34" s="149"/>
      <c r="S34" s="149"/>
      <c r="T34" s="199"/>
      <c r="U34" s="181">
        <v>22</v>
      </c>
      <c r="V34" s="413">
        <v>7.25</v>
      </c>
      <c r="W34" s="412"/>
      <c r="X34" s="413"/>
      <c r="Y34" s="557">
        <f t="shared" si="5"/>
        <v>0</v>
      </c>
      <c r="Z34" s="568">
        <f t="shared" si="6"/>
        <v>7.25</v>
      </c>
    </row>
    <row r="35" spans="1:26" ht="46.25" customHeight="1" x14ac:dyDescent="0.3">
      <c r="A35" s="155">
        <v>9</v>
      </c>
      <c r="B35" s="145" t="s">
        <v>42</v>
      </c>
      <c r="C35" s="142" t="s">
        <v>44</v>
      </c>
      <c r="D35" s="142" t="s">
        <v>191</v>
      </c>
      <c r="E35" s="143" t="s">
        <v>193</v>
      </c>
      <c r="F35" s="204" t="s">
        <v>204</v>
      </c>
      <c r="G35" s="204" t="s">
        <v>205</v>
      </c>
      <c r="H35" s="190" t="s">
        <v>422</v>
      </c>
      <c r="I35" s="190" t="s">
        <v>423</v>
      </c>
      <c r="J35" s="412">
        <v>10.75</v>
      </c>
      <c r="K35" s="143" t="s">
        <v>84</v>
      </c>
      <c r="L35" s="156" t="s">
        <v>8</v>
      </c>
      <c r="M35" s="145">
        <v>1989</v>
      </c>
      <c r="N35" s="145">
        <v>119.69</v>
      </c>
      <c r="O35" s="165">
        <f t="shared" ref="O35:O38" si="7">(J35*2)+$O$2</f>
        <v>23.07</v>
      </c>
      <c r="P35" s="135">
        <f t="shared" ref="P35" si="8">(M35/N35)*O35</f>
        <v>383.37563706241122</v>
      </c>
      <c r="Q35" s="180" t="e">
        <f t="shared" ref="Q35" si="9">(P35*R35)/S35</f>
        <v>#DIV/0!</v>
      </c>
      <c r="R35" s="149"/>
      <c r="S35" s="149"/>
      <c r="T35" s="199"/>
      <c r="U35" s="181">
        <v>22</v>
      </c>
      <c r="V35" s="411"/>
      <c r="W35" s="412"/>
      <c r="X35" s="411"/>
      <c r="Y35" s="557">
        <f t="shared" ref="Y35:Y36" si="10">J35-V35-W35-X35</f>
        <v>10.75</v>
      </c>
      <c r="Z35" s="568">
        <f t="shared" si="6"/>
        <v>10.75</v>
      </c>
    </row>
    <row r="36" spans="1:26" ht="46.25" customHeight="1" x14ac:dyDescent="0.3">
      <c r="A36" s="145">
        <v>10</v>
      </c>
      <c r="B36" s="145" t="s">
        <v>42</v>
      </c>
      <c r="C36" s="142" t="s">
        <v>44</v>
      </c>
      <c r="D36" s="142" t="s">
        <v>191</v>
      </c>
      <c r="E36" s="143" t="s">
        <v>194</v>
      </c>
      <c r="F36" s="190" t="s">
        <v>200</v>
      </c>
      <c r="G36" s="190" t="s">
        <v>201</v>
      </c>
      <c r="H36" s="190"/>
      <c r="I36" s="190"/>
      <c r="J36" s="412">
        <v>10.5</v>
      </c>
      <c r="K36" s="143" t="s">
        <v>195</v>
      </c>
      <c r="L36" s="146" t="s">
        <v>85</v>
      </c>
      <c r="M36" s="145"/>
      <c r="N36" s="145"/>
      <c r="O36" s="165">
        <f t="shared" si="7"/>
        <v>22.57</v>
      </c>
      <c r="P36" s="135"/>
      <c r="Q36" s="180"/>
      <c r="R36" s="149"/>
      <c r="S36" s="149"/>
      <c r="T36" s="199"/>
      <c r="U36" s="181"/>
      <c r="V36" s="411">
        <v>10.5</v>
      </c>
      <c r="W36" s="412"/>
      <c r="X36" s="411"/>
      <c r="Y36" s="557">
        <f t="shared" si="10"/>
        <v>0</v>
      </c>
      <c r="Z36" s="568">
        <f t="shared" si="6"/>
        <v>10.5</v>
      </c>
    </row>
    <row r="37" spans="1:26" ht="46.25" customHeight="1" x14ac:dyDescent="0.3">
      <c r="A37" s="145">
        <v>11</v>
      </c>
      <c r="B37" s="145" t="s">
        <v>169</v>
      </c>
      <c r="C37" s="142" t="s">
        <v>44</v>
      </c>
      <c r="D37" s="142" t="s">
        <v>197</v>
      </c>
      <c r="E37" s="143" t="s">
        <v>196</v>
      </c>
      <c r="F37" s="190" t="s">
        <v>198</v>
      </c>
      <c r="G37" s="190" t="s">
        <v>199</v>
      </c>
      <c r="H37" s="190" t="s">
        <v>232</v>
      </c>
      <c r="I37" s="190" t="s">
        <v>233</v>
      </c>
      <c r="J37" s="412">
        <v>7.25</v>
      </c>
      <c r="K37" s="143" t="s">
        <v>23</v>
      </c>
      <c r="L37" s="156" t="s">
        <v>8</v>
      </c>
      <c r="M37" s="145"/>
      <c r="N37" s="145"/>
      <c r="O37" s="165">
        <f t="shared" si="7"/>
        <v>16.07</v>
      </c>
      <c r="P37" s="135"/>
      <c r="Q37" s="180"/>
      <c r="R37" s="149"/>
      <c r="S37" s="149"/>
      <c r="T37" s="199"/>
      <c r="U37" s="181"/>
      <c r="V37" s="411"/>
      <c r="W37" s="412"/>
      <c r="X37" s="411"/>
      <c r="Y37" s="557">
        <f>J37</f>
        <v>7.25</v>
      </c>
      <c r="Z37" s="568">
        <f t="shared" si="6"/>
        <v>7.25</v>
      </c>
    </row>
    <row r="38" spans="1:26" ht="46.25" customHeight="1" x14ac:dyDescent="0.3">
      <c r="A38" s="145">
        <v>12</v>
      </c>
      <c r="B38" s="145" t="s">
        <v>169</v>
      </c>
      <c r="C38" s="142" t="s">
        <v>44</v>
      </c>
      <c r="D38" s="142" t="s">
        <v>217</v>
      </c>
      <c r="E38" s="143" t="s">
        <v>218</v>
      </c>
      <c r="F38" s="190" t="s">
        <v>219</v>
      </c>
      <c r="G38" s="190" t="s">
        <v>220</v>
      </c>
      <c r="H38" s="190"/>
      <c r="I38" s="190"/>
      <c r="J38" s="412">
        <v>0.4</v>
      </c>
      <c r="K38" s="143" t="s">
        <v>221</v>
      </c>
      <c r="L38" s="201" t="s">
        <v>25</v>
      </c>
      <c r="M38" s="145"/>
      <c r="N38" s="145"/>
      <c r="O38" s="165">
        <f t="shared" si="7"/>
        <v>2.37</v>
      </c>
      <c r="P38" s="135"/>
      <c r="Q38" s="180"/>
      <c r="R38" s="149"/>
      <c r="S38" s="149"/>
      <c r="T38" s="199"/>
      <c r="U38" s="181"/>
      <c r="V38" s="411">
        <f>J38</f>
        <v>0.4</v>
      </c>
      <c r="W38" s="412"/>
      <c r="X38" s="411"/>
      <c r="Y38" s="557">
        <f>J38-V38</f>
        <v>0</v>
      </c>
      <c r="Z38" s="568">
        <f t="shared" si="6"/>
        <v>0.4</v>
      </c>
    </row>
    <row r="39" spans="1:26" ht="46.25" customHeight="1" x14ac:dyDescent="0.3">
      <c r="A39" s="145">
        <v>13</v>
      </c>
      <c r="B39" s="145" t="s">
        <v>176</v>
      </c>
      <c r="C39" s="142" t="s">
        <v>44</v>
      </c>
      <c r="D39" s="142" t="s">
        <v>132</v>
      </c>
      <c r="E39" s="143" t="s">
        <v>212</v>
      </c>
      <c r="F39" s="190" t="s">
        <v>213</v>
      </c>
      <c r="G39" s="190" t="s">
        <v>214</v>
      </c>
      <c r="H39" s="190" t="s">
        <v>215</v>
      </c>
      <c r="I39" s="190" t="s">
        <v>216</v>
      </c>
      <c r="J39" s="412">
        <v>2.5</v>
      </c>
      <c r="K39" s="143" t="s">
        <v>23</v>
      </c>
      <c r="L39" s="156" t="s">
        <v>8</v>
      </c>
      <c r="M39" s="145"/>
      <c r="N39" s="145"/>
      <c r="O39" s="165"/>
      <c r="P39" s="135"/>
      <c r="Q39" s="180"/>
      <c r="R39" s="149"/>
      <c r="S39" s="149"/>
      <c r="T39" s="199"/>
      <c r="U39" s="181"/>
      <c r="V39" s="411"/>
      <c r="W39" s="412"/>
      <c r="X39" s="411"/>
      <c r="Y39" s="557">
        <f t="shared" ref="Y39:Y41" si="11">J39</f>
        <v>2.5</v>
      </c>
      <c r="Z39" s="568">
        <f t="shared" si="6"/>
        <v>2.5</v>
      </c>
    </row>
    <row r="40" spans="1:26" ht="46.25" customHeight="1" x14ac:dyDescent="0.3">
      <c r="A40" s="145">
        <v>14</v>
      </c>
      <c r="B40" s="145" t="s">
        <v>176</v>
      </c>
      <c r="C40" s="142" t="s">
        <v>44</v>
      </c>
      <c r="D40" s="142" t="s">
        <v>122</v>
      </c>
      <c r="E40" s="143" t="s">
        <v>222</v>
      </c>
      <c r="F40" s="190" t="s">
        <v>228</v>
      </c>
      <c r="G40" s="190" t="s">
        <v>229</v>
      </c>
      <c r="H40" s="190" t="s">
        <v>230</v>
      </c>
      <c r="I40" s="190" t="s">
        <v>231</v>
      </c>
      <c r="J40" s="412">
        <v>1.2</v>
      </c>
      <c r="K40" s="143" t="s">
        <v>84</v>
      </c>
      <c r="L40" s="156" t="s">
        <v>8</v>
      </c>
      <c r="M40" s="145"/>
      <c r="N40" s="145"/>
      <c r="O40" s="165"/>
      <c r="P40" s="135"/>
      <c r="Q40" s="180"/>
      <c r="R40" s="149"/>
      <c r="S40" s="149"/>
      <c r="T40" s="199"/>
      <c r="U40" s="181"/>
      <c r="V40" s="411"/>
      <c r="W40" s="412"/>
      <c r="X40" s="411"/>
      <c r="Y40" s="557">
        <f t="shared" si="11"/>
        <v>1.2</v>
      </c>
      <c r="Z40" s="568">
        <f t="shared" si="6"/>
        <v>1.2</v>
      </c>
    </row>
    <row r="41" spans="1:26" ht="46.25" customHeight="1" x14ac:dyDescent="0.3">
      <c r="A41" s="145">
        <v>15</v>
      </c>
      <c r="B41" s="145" t="s">
        <v>176</v>
      </c>
      <c r="C41" s="142" t="s">
        <v>44</v>
      </c>
      <c r="D41" s="142" t="s">
        <v>156</v>
      </c>
      <c r="E41" s="143" t="s">
        <v>207</v>
      </c>
      <c r="F41" s="190" t="s">
        <v>208</v>
      </c>
      <c r="G41" s="190" t="s">
        <v>209</v>
      </c>
      <c r="H41" s="190" t="s">
        <v>210</v>
      </c>
      <c r="I41" s="190" t="s">
        <v>211</v>
      </c>
      <c r="J41" s="412">
        <v>4</v>
      </c>
      <c r="K41" s="143" t="s">
        <v>23</v>
      </c>
      <c r="L41" s="156" t="s">
        <v>8</v>
      </c>
      <c r="M41" s="145"/>
      <c r="N41" s="145"/>
      <c r="O41" s="165"/>
      <c r="P41" s="135"/>
      <c r="Q41" s="180"/>
      <c r="R41" s="149"/>
      <c r="S41" s="149"/>
      <c r="T41" s="199"/>
      <c r="U41" s="181"/>
      <c r="V41" s="411"/>
      <c r="W41" s="412"/>
      <c r="X41" s="411"/>
      <c r="Y41" s="557">
        <f t="shared" si="11"/>
        <v>4</v>
      </c>
      <c r="Z41" s="568">
        <f t="shared" si="6"/>
        <v>4</v>
      </c>
    </row>
    <row r="42" spans="1:26" ht="46.25" customHeight="1" x14ac:dyDescent="0.3">
      <c r="A42" s="145">
        <v>17</v>
      </c>
      <c r="B42" s="145" t="s">
        <v>176</v>
      </c>
      <c r="C42" s="142" t="s">
        <v>44</v>
      </c>
      <c r="D42" s="142" t="s">
        <v>191</v>
      </c>
      <c r="E42" s="143" t="s">
        <v>223</v>
      </c>
      <c r="F42" s="190" t="s">
        <v>224</v>
      </c>
      <c r="G42" s="190" t="s">
        <v>225</v>
      </c>
      <c r="H42" s="190" t="s">
        <v>226</v>
      </c>
      <c r="I42" s="190" t="s">
        <v>227</v>
      </c>
      <c r="J42" s="412">
        <v>3</v>
      </c>
      <c r="K42" s="143" t="s">
        <v>195</v>
      </c>
      <c r="L42" s="146" t="s">
        <v>85</v>
      </c>
      <c r="M42" s="145"/>
      <c r="N42" s="145"/>
      <c r="O42" s="165"/>
      <c r="P42" s="135"/>
      <c r="Q42" s="180"/>
      <c r="R42" s="149"/>
      <c r="S42" s="149"/>
      <c r="T42" s="199"/>
      <c r="U42" s="181"/>
      <c r="V42" s="411">
        <v>0.25</v>
      </c>
      <c r="W42" s="412"/>
      <c r="X42" s="411"/>
      <c r="Y42" s="557">
        <f>J42-V42</f>
        <v>2.75</v>
      </c>
      <c r="Z42" s="568">
        <f t="shared" si="6"/>
        <v>3</v>
      </c>
    </row>
    <row r="43" spans="1:26" ht="46.25" customHeight="1" x14ac:dyDescent="0.3">
      <c r="A43" s="145">
        <v>18</v>
      </c>
      <c r="B43" s="145" t="s">
        <v>176</v>
      </c>
      <c r="C43" s="142" t="s">
        <v>44</v>
      </c>
      <c r="D43" s="142" t="s">
        <v>197</v>
      </c>
      <c r="E43" s="143" t="s">
        <v>384</v>
      </c>
      <c r="F43" s="190" t="s">
        <v>387</v>
      </c>
      <c r="G43" s="190" t="s">
        <v>388</v>
      </c>
      <c r="H43" s="190" t="s">
        <v>385</v>
      </c>
      <c r="I43" s="190" t="s">
        <v>386</v>
      </c>
      <c r="J43" s="412">
        <v>1.3</v>
      </c>
      <c r="K43" s="143" t="s">
        <v>195</v>
      </c>
      <c r="L43" s="146" t="s">
        <v>85</v>
      </c>
      <c r="M43" s="145"/>
      <c r="N43" s="145"/>
      <c r="O43" s="165"/>
      <c r="P43" s="135"/>
      <c r="Q43" s="180"/>
      <c r="R43" s="149"/>
      <c r="S43" s="149"/>
      <c r="T43" s="199"/>
      <c r="U43" s="181"/>
      <c r="V43" s="411">
        <v>0.3</v>
      </c>
      <c r="W43" s="412"/>
      <c r="X43" s="411"/>
      <c r="Y43" s="557">
        <f>J43-V43</f>
        <v>1</v>
      </c>
      <c r="Z43" s="568">
        <f t="shared" si="6"/>
        <v>1.3</v>
      </c>
    </row>
    <row r="44" spans="1:26" ht="46.25" customHeight="1" thickBot="1" x14ac:dyDescent="0.35">
      <c r="A44" s="145">
        <v>18</v>
      </c>
      <c r="B44" s="145" t="s">
        <v>176</v>
      </c>
      <c r="C44" s="142" t="s">
        <v>44</v>
      </c>
      <c r="D44" s="142" t="s">
        <v>197</v>
      </c>
      <c r="E44" s="143" t="s">
        <v>383</v>
      </c>
      <c r="F44" s="190" t="s">
        <v>389</v>
      </c>
      <c r="G44" s="190" t="s">
        <v>390</v>
      </c>
      <c r="H44" s="190"/>
      <c r="I44" s="190"/>
      <c r="J44" s="412">
        <v>7</v>
      </c>
      <c r="K44" s="143" t="s">
        <v>23</v>
      </c>
      <c r="L44" s="156" t="s">
        <v>8</v>
      </c>
      <c r="M44" s="145"/>
      <c r="N44" s="145"/>
      <c r="O44" s="165"/>
      <c r="P44" s="135"/>
      <c r="Q44" s="180"/>
      <c r="R44" s="149"/>
      <c r="S44" s="149"/>
      <c r="T44" s="199"/>
      <c r="U44" s="181"/>
      <c r="V44" s="411"/>
      <c r="W44" s="412"/>
      <c r="X44" s="411"/>
      <c r="Y44" s="557">
        <f>J44-V44</f>
        <v>7</v>
      </c>
      <c r="Z44" s="570">
        <f t="shared" si="6"/>
        <v>7</v>
      </c>
    </row>
    <row r="45" spans="1:26" ht="28.25" customHeight="1" x14ac:dyDescent="0.45">
      <c r="A45" s="923" t="s">
        <v>330</v>
      </c>
      <c r="B45" s="924"/>
      <c r="C45" s="924"/>
      <c r="D45" s="924"/>
      <c r="E45" s="924"/>
      <c r="F45" s="924"/>
      <c r="G45" s="924"/>
      <c r="H45" s="924"/>
      <c r="I45" s="924"/>
      <c r="J45" s="924"/>
      <c r="K45" s="925"/>
      <c r="L45" s="428" t="s">
        <v>185</v>
      </c>
      <c r="M45" s="391">
        <f>SUM(J27:J30)</f>
        <v>28.9</v>
      </c>
      <c r="N45" s="392"/>
      <c r="O45" s="392"/>
      <c r="P45" s="407"/>
      <c r="Q45" s="417"/>
      <c r="R45" s="103"/>
      <c r="S45" s="103"/>
      <c r="T45" s="104"/>
      <c r="U45" s="418"/>
      <c r="V45" s="421">
        <f>SUM(V27:V36)</f>
        <v>27.79</v>
      </c>
      <c r="W45" s="421">
        <f>SUM(W27:W36)</f>
        <v>0</v>
      </c>
      <c r="X45" s="421">
        <f>SUM(X27:X36)</f>
        <v>7.5</v>
      </c>
      <c r="Y45" s="559">
        <f>SUM(Y27:Y36)</f>
        <v>38.909999999999997</v>
      </c>
      <c r="Z45" s="571">
        <f t="shared" si="6"/>
        <v>74.199999999999989</v>
      </c>
    </row>
    <row r="46" spans="1:26" ht="28.25" customHeight="1" x14ac:dyDescent="0.4">
      <c r="A46" s="926"/>
      <c r="B46" s="927"/>
      <c r="C46" s="927"/>
      <c r="D46" s="927"/>
      <c r="E46" s="927"/>
      <c r="F46" s="927"/>
      <c r="G46" s="927"/>
      <c r="H46" s="927"/>
      <c r="I46" s="927"/>
      <c r="J46" s="927"/>
      <c r="K46" s="928"/>
      <c r="L46" s="429" t="s">
        <v>186</v>
      </c>
      <c r="M46" s="393">
        <f>SUM(J31:J44)</f>
        <v>71.95</v>
      </c>
      <c r="N46" s="394"/>
      <c r="O46" s="394"/>
      <c r="P46" s="408"/>
      <c r="Q46" s="419"/>
      <c r="R46" s="419"/>
      <c r="S46" s="420"/>
      <c r="T46" s="419"/>
      <c r="U46" s="419"/>
      <c r="V46" s="415">
        <f>SUM(V37:V38)</f>
        <v>0.4</v>
      </c>
      <c r="W46" s="415">
        <f>SUM(W37:W38)</f>
        <v>0</v>
      </c>
      <c r="X46" s="415">
        <f>SUM(X37:X38)</f>
        <v>0</v>
      </c>
      <c r="Y46" s="560">
        <f>SUM(Y37:Y38)</f>
        <v>7.25</v>
      </c>
      <c r="Z46" s="568">
        <f t="shared" si="6"/>
        <v>7.65</v>
      </c>
    </row>
    <row r="47" spans="1:26" ht="28.25" customHeight="1" x14ac:dyDescent="0.4">
      <c r="A47" s="926"/>
      <c r="B47" s="927"/>
      <c r="C47" s="927"/>
      <c r="D47" s="927"/>
      <c r="E47" s="927"/>
      <c r="F47" s="927"/>
      <c r="G47" s="927"/>
      <c r="H47" s="927"/>
      <c r="I47" s="927"/>
      <c r="J47" s="927"/>
      <c r="K47" s="928"/>
      <c r="L47" s="429" t="s">
        <v>187</v>
      </c>
      <c r="M47" s="395">
        <v>0</v>
      </c>
      <c r="N47" s="396"/>
      <c r="O47" s="396"/>
      <c r="P47" s="409"/>
      <c r="Q47" s="419"/>
      <c r="R47" s="419"/>
      <c r="S47" s="420"/>
      <c r="T47" s="419"/>
      <c r="U47" s="419"/>
      <c r="V47" s="415">
        <f>SUM(V39:V44)</f>
        <v>0.55000000000000004</v>
      </c>
      <c r="W47" s="415">
        <f>SUM(W39:W44)</f>
        <v>0</v>
      </c>
      <c r="X47" s="415">
        <f>SUM(X39:X44)</f>
        <v>0</v>
      </c>
      <c r="Y47" s="560">
        <f>SUM(Y39:Y44)</f>
        <v>18.45</v>
      </c>
      <c r="Z47" s="568">
        <f t="shared" si="6"/>
        <v>19</v>
      </c>
    </row>
    <row r="48" spans="1:26" ht="28.25" customHeight="1" thickBot="1" x14ac:dyDescent="0.45">
      <c r="A48" s="929"/>
      <c r="B48" s="930"/>
      <c r="C48" s="930"/>
      <c r="D48" s="930"/>
      <c r="E48" s="930"/>
      <c r="F48" s="930"/>
      <c r="G48" s="930"/>
      <c r="H48" s="930"/>
      <c r="I48" s="930"/>
      <c r="J48" s="930"/>
      <c r="K48" s="931"/>
      <c r="L48" s="422" t="s">
        <v>20</v>
      </c>
      <c r="M48" s="422">
        <f>SUM(M45:M47)</f>
        <v>100.85</v>
      </c>
      <c r="N48" s="423"/>
      <c r="O48" s="423"/>
      <c r="P48" s="424"/>
      <c r="Q48" s="425"/>
      <c r="R48" s="425"/>
      <c r="S48" s="426"/>
      <c r="T48" s="425"/>
      <c r="U48" s="425"/>
      <c r="V48" s="427">
        <f>SUM(V45:V47)</f>
        <v>28.74</v>
      </c>
      <c r="W48" s="427">
        <f t="shared" ref="W48:Y48" si="12">SUM(W45:W47)</f>
        <v>0</v>
      </c>
      <c r="X48" s="427">
        <f t="shared" si="12"/>
        <v>7.5</v>
      </c>
      <c r="Y48" s="561">
        <f t="shared" si="12"/>
        <v>64.61</v>
      </c>
      <c r="Z48" s="569">
        <f>SUM(V48:Y48)</f>
        <v>100.85</v>
      </c>
    </row>
    <row r="49" spans="5:26" ht="20" x14ac:dyDescent="0.4">
      <c r="M49" s="390"/>
      <c r="Z49" s="566"/>
    </row>
    <row r="51" spans="5:26" ht="34.25" customHeight="1" x14ac:dyDescent="0.3"/>
    <row r="60" spans="5:26" ht="20" x14ac:dyDescent="0.4">
      <c r="E60" s="381"/>
    </row>
  </sheetData>
  <mergeCells count="37">
    <mergeCell ref="Y5:Y6"/>
    <mergeCell ref="V7:V8"/>
    <mergeCell ref="W7:W8"/>
    <mergeCell ref="X7:X8"/>
    <mergeCell ref="Y7:Y8"/>
    <mergeCell ref="A45:K48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  <mergeCell ref="R3:R8"/>
    <mergeCell ref="F5:F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4:Z4"/>
    <mergeCell ref="V3:Z3"/>
    <mergeCell ref="Z5:Z8"/>
    <mergeCell ref="G5:G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Z47"/>
  <sheetViews>
    <sheetView view="pageBreakPreview" zoomScale="40" zoomScaleNormal="30" zoomScaleSheetLayoutView="40" workbookViewId="0">
      <selection activeCell="V41" sqref="V4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2" width="18.81640625" style="1" customWidth="1"/>
    <col min="23" max="23" width="14.6328125" style="1" customWidth="1"/>
    <col min="24" max="24" width="14.90625" style="1" customWidth="1"/>
    <col min="25" max="25" width="17" style="1" customWidth="1"/>
    <col min="26" max="26" width="18.453125" style="1" customWidth="1"/>
    <col min="27" max="27" width="13" style="1" customWidth="1"/>
    <col min="28" max="16384" width="8.81640625" style="1"/>
  </cols>
  <sheetData>
    <row r="1" spans="1:26" ht="93.65" customHeight="1" x14ac:dyDescent="0.3">
      <c r="A1" s="977" t="s">
        <v>178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</row>
    <row r="2" spans="1:26" ht="46.25" customHeight="1" thickBot="1" x14ac:dyDescent="0.35">
      <c r="O2" s="101">
        <f>((3.14*2^2)/4)/2</f>
        <v>1.57</v>
      </c>
    </row>
    <row r="3" spans="1:26" ht="34.25" customHeight="1" x14ac:dyDescent="0.3">
      <c r="A3" s="1116" t="s">
        <v>33</v>
      </c>
      <c r="B3" s="1119" t="s">
        <v>167</v>
      </c>
      <c r="C3" s="1122" t="s">
        <v>0</v>
      </c>
      <c r="D3" s="1125" t="s">
        <v>150</v>
      </c>
      <c r="E3" s="1125" t="s">
        <v>2</v>
      </c>
      <c r="F3" s="1125" t="s">
        <v>3</v>
      </c>
      <c r="G3" s="1125"/>
      <c r="H3" s="1125" t="s">
        <v>147</v>
      </c>
      <c r="I3" s="1125"/>
      <c r="J3" s="1128" t="s">
        <v>6</v>
      </c>
      <c r="K3" s="1131" t="s">
        <v>26</v>
      </c>
      <c r="L3" s="1131"/>
      <c r="M3" s="1104" t="s">
        <v>27</v>
      </c>
      <c r="N3" s="1104" t="s">
        <v>28</v>
      </c>
      <c r="O3" s="1107" t="s">
        <v>32</v>
      </c>
      <c r="P3" s="1110" t="s">
        <v>139</v>
      </c>
      <c r="Q3" s="1113" t="s">
        <v>143</v>
      </c>
      <c r="R3" s="1101" t="s">
        <v>148</v>
      </c>
      <c r="S3" s="1183" t="s">
        <v>9</v>
      </c>
      <c r="T3" s="1183"/>
      <c r="U3" s="1197" t="s">
        <v>151</v>
      </c>
      <c r="V3" s="1192" t="s">
        <v>179</v>
      </c>
      <c r="W3" s="1193"/>
      <c r="X3" s="1193"/>
      <c r="Y3" s="1193"/>
      <c r="Z3" s="1194"/>
    </row>
    <row r="4" spans="1:26" ht="42" customHeight="1" thickBot="1" x14ac:dyDescent="0.35">
      <c r="A4" s="1117"/>
      <c r="B4" s="1120"/>
      <c r="C4" s="1123"/>
      <c r="D4" s="1126"/>
      <c r="E4" s="1126"/>
      <c r="F4" s="1126"/>
      <c r="G4" s="1126"/>
      <c r="H4" s="1126"/>
      <c r="I4" s="1126"/>
      <c r="J4" s="1129"/>
      <c r="K4" s="1132"/>
      <c r="L4" s="1132"/>
      <c r="M4" s="1105"/>
      <c r="N4" s="1105"/>
      <c r="O4" s="1108"/>
      <c r="P4" s="1111"/>
      <c r="Q4" s="1114"/>
      <c r="R4" s="1102"/>
      <c r="S4" s="1184"/>
      <c r="T4" s="1184"/>
      <c r="U4" s="1198"/>
      <c r="V4" s="1200" t="s">
        <v>328</v>
      </c>
      <c r="W4" s="1076"/>
      <c r="X4" s="1076"/>
      <c r="Y4" s="1076"/>
      <c r="Z4" s="1077"/>
    </row>
    <row r="5" spans="1:26" ht="30" customHeight="1" x14ac:dyDescent="0.5">
      <c r="A5" s="1117"/>
      <c r="B5" s="1120"/>
      <c r="C5" s="1123"/>
      <c r="D5" s="1126"/>
      <c r="E5" s="1126"/>
      <c r="F5" s="1095" t="s">
        <v>4</v>
      </c>
      <c r="G5" s="1095" t="s">
        <v>5</v>
      </c>
      <c r="H5" s="1095" t="s">
        <v>4</v>
      </c>
      <c r="I5" s="1095" t="s">
        <v>5</v>
      </c>
      <c r="J5" s="1129"/>
      <c r="K5" s="1097" t="s">
        <v>7</v>
      </c>
      <c r="L5" s="645" t="s">
        <v>14</v>
      </c>
      <c r="M5" s="1105"/>
      <c r="N5" s="1105"/>
      <c r="O5" s="1108"/>
      <c r="P5" s="1111"/>
      <c r="Q5" s="1114"/>
      <c r="R5" s="1102"/>
      <c r="S5" s="1171" t="s">
        <v>10</v>
      </c>
      <c r="T5" s="1165" t="s">
        <v>11</v>
      </c>
      <c r="U5" s="1198"/>
      <c r="V5" s="1169" t="s">
        <v>181</v>
      </c>
      <c r="W5" s="1169" t="s">
        <v>182</v>
      </c>
      <c r="X5" s="1169" t="s">
        <v>183</v>
      </c>
      <c r="Y5" s="1173" t="s">
        <v>184</v>
      </c>
      <c r="Z5" s="1195" t="s">
        <v>11</v>
      </c>
    </row>
    <row r="6" spans="1:26" ht="30" customHeight="1" x14ac:dyDescent="0.5">
      <c r="A6" s="1117"/>
      <c r="B6" s="1120"/>
      <c r="C6" s="1123"/>
      <c r="D6" s="1126"/>
      <c r="E6" s="1126"/>
      <c r="F6" s="1095"/>
      <c r="G6" s="1095"/>
      <c r="H6" s="1095"/>
      <c r="I6" s="1095"/>
      <c r="J6" s="1129"/>
      <c r="K6" s="1097"/>
      <c r="L6" s="646" t="s">
        <v>15</v>
      </c>
      <c r="M6" s="1105"/>
      <c r="N6" s="1105"/>
      <c r="O6" s="1108"/>
      <c r="P6" s="1111"/>
      <c r="Q6" s="1114"/>
      <c r="R6" s="1102"/>
      <c r="S6" s="1171"/>
      <c r="T6" s="1165"/>
      <c r="U6" s="1198"/>
      <c r="V6" s="1170"/>
      <c r="W6" s="1170"/>
      <c r="X6" s="1170"/>
      <c r="Y6" s="1174"/>
      <c r="Z6" s="1196"/>
    </row>
    <row r="7" spans="1:26" ht="30" customHeight="1" x14ac:dyDescent="0.5">
      <c r="A7" s="1117"/>
      <c r="B7" s="1120"/>
      <c r="C7" s="1123"/>
      <c r="D7" s="1126"/>
      <c r="E7" s="1126"/>
      <c r="F7" s="1095"/>
      <c r="G7" s="1095"/>
      <c r="H7" s="1095"/>
      <c r="I7" s="1095"/>
      <c r="J7" s="1129"/>
      <c r="K7" s="1097"/>
      <c r="L7" s="647" t="s">
        <v>16</v>
      </c>
      <c r="M7" s="1105"/>
      <c r="N7" s="1105"/>
      <c r="O7" s="1108"/>
      <c r="P7" s="1111"/>
      <c r="Q7" s="1114"/>
      <c r="R7" s="1102"/>
      <c r="S7" s="1171"/>
      <c r="T7" s="1165"/>
      <c r="U7" s="1198"/>
      <c r="V7" s="1177" t="s">
        <v>180</v>
      </c>
      <c r="W7" s="1177" t="s">
        <v>13</v>
      </c>
      <c r="X7" s="1179" t="s">
        <v>13</v>
      </c>
      <c r="Y7" s="1181" t="s">
        <v>13</v>
      </c>
      <c r="Z7" s="1196"/>
    </row>
    <row r="8" spans="1:26" ht="30" customHeight="1" thickBot="1" x14ac:dyDescent="0.55000000000000004">
      <c r="A8" s="1118"/>
      <c r="B8" s="1121"/>
      <c r="C8" s="1124"/>
      <c r="D8" s="1127"/>
      <c r="E8" s="1127"/>
      <c r="F8" s="1096"/>
      <c r="G8" s="1096"/>
      <c r="H8" s="1096"/>
      <c r="I8" s="1096"/>
      <c r="J8" s="1130"/>
      <c r="K8" s="1098"/>
      <c r="L8" s="648"/>
      <c r="M8" s="1106"/>
      <c r="N8" s="1106"/>
      <c r="O8" s="1109"/>
      <c r="P8" s="1112"/>
      <c r="Q8" s="1115"/>
      <c r="R8" s="1103"/>
      <c r="S8" s="1172"/>
      <c r="T8" s="1166"/>
      <c r="U8" s="1199"/>
      <c r="V8" s="1178"/>
      <c r="W8" s="1178"/>
      <c r="X8" s="1180"/>
      <c r="Y8" s="1182"/>
      <c r="Z8" s="1196"/>
    </row>
    <row r="9" spans="1:26" ht="48.65" hidden="1" customHeight="1" thickBot="1" x14ac:dyDescent="0.35">
      <c r="A9" s="649">
        <v>1</v>
      </c>
      <c r="B9" s="650" t="s">
        <v>35</v>
      </c>
      <c r="C9" s="651" t="s">
        <v>43</v>
      </c>
      <c r="D9" s="651" t="s">
        <v>47</v>
      </c>
      <c r="E9" s="652" t="s">
        <v>63</v>
      </c>
      <c r="F9" s="653"/>
      <c r="G9" s="654"/>
      <c r="H9" s="654"/>
      <c r="I9" s="654"/>
      <c r="J9" s="650">
        <v>7</v>
      </c>
      <c r="K9" s="651" t="s">
        <v>82</v>
      </c>
      <c r="L9" s="655" t="s">
        <v>85</v>
      </c>
      <c r="M9" s="650">
        <f>3376+1819</f>
        <v>5195</v>
      </c>
      <c r="N9" s="650">
        <f>22.73+23.09</f>
        <v>45.82</v>
      </c>
      <c r="O9" s="656">
        <f>(J9*2)+$O$2</f>
        <v>15.57</v>
      </c>
      <c r="P9" s="657">
        <f>(M9/N9)*O9</f>
        <v>1765.3022697512006</v>
      </c>
      <c r="Q9" s="658"/>
      <c r="R9" s="659"/>
      <c r="S9" s="660">
        <v>5000</v>
      </c>
      <c r="T9" s="651"/>
      <c r="U9" s="661"/>
      <c r="V9" s="650"/>
      <c r="W9" s="650"/>
      <c r="X9" s="808" t="e">
        <f>5000*#REF!</f>
        <v>#REF!</v>
      </c>
      <c r="Y9" s="809" t="e">
        <f>5000*#REF!</f>
        <v>#REF!</v>
      </c>
      <c r="Z9" s="572"/>
    </row>
    <row r="10" spans="1:26" ht="48.65" hidden="1" customHeight="1" thickBot="1" x14ac:dyDescent="0.35">
      <c r="A10" s="665">
        <v>2</v>
      </c>
      <c r="B10" s="666" t="s">
        <v>36</v>
      </c>
      <c r="C10" s="667" t="s">
        <v>43</v>
      </c>
      <c r="D10" s="667" t="s">
        <v>48</v>
      </c>
      <c r="E10" s="668" t="s">
        <v>64</v>
      </c>
      <c r="F10" s="669"/>
      <c r="G10" s="669"/>
      <c r="H10" s="669"/>
      <c r="I10" s="669"/>
      <c r="J10" s="662">
        <v>6.5</v>
      </c>
      <c r="K10" s="667" t="s">
        <v>82</v>
      </c>
      <c r="L10" s="670" t="s">
        <v>85</v>
      </c>
      <c r="M10" s="662">
        <f>3376+1819+952</f>
        <v>6147</v>
      </c>
      <c r="N10" s="662">
        <f>22.73+23.09+11.4</f>
        <v>57.22</v>
      </c>
      <c r="O10" s="671">
        <f t="shared" ref="O10:O25" si="0">(J10*2)+$O$2</f>
        <v>14.57</v>
      </c>
      <c r="P10" s="672">
        <f t="shared" ref="P10:P25" si="1">(M10/N10)*O10</f>
        <v>1565.218280321566</v>
      </c>
      <c r="Q10" s="673"/>
      <c r="R10" s="674"/>
      <c r="S10" s="675">
        <v>5000</v>
      </c>
      <c r="T10" s="667"/>
      <c r="U10" s="676"/>
      <c r="V10" s="662"/>
      <c r="W10" s="662"/>
      <c r="X10" s="811" t="e">
        <f>5000*#REF!</f>
        <v>#REF!</v>
      </c>
      <c r="Y10" s="809" t="e">
        <f>5000*#REF!</f>
        <v>#REF!</v>
      </c>
      <c r="Z10" s="572"/>
    </row>
    <row r="11" spans="1:26" ht="48.65" hidden="1" customHeight="1" thickBot="1" x14ac:dyDescent="0.35">
      <c r="A11" s="677">
        <v>3</v>
      </c>
      <c r="B11" s="666" t="s">
        <v>37</v>
      </c>
      <c r="C11" s="667" t="s">
        <v>44</v>
      </c>
      <c r="D11" s="667" t="s">
        <v>49</v>
      </c>
      <c r="E11" s="668" t="s">
        <v>65</v>
      </c>
      <c r="F11" s="669"/>
      <c r="G11" s="669"/>
      <c r="H11" s="669"/>
      <c r="I11" s="669"/>
      <c r="J11" s="662">
        <v>10.5</v>
      </c>
      <c r="K11" s="667" t="s">
        <v>82</v>
      </c>
      <c r="L11" s="670" t="s">
        <v>85</v>
      </c>
      <c r="M11" s="662">
        <v>1077</v>
      </c>
      <c r="N11" s="662">
        <v>42.11</v>
      </c>
      <c r="O11" s="671">
        <f t="shared" si="0"/>
        <v>22.57</v>
      </c>
      <c r="P11" s="672">
        <f t="shared" si="1"/>
        <v>577.24744716219425</v>
      </c>
      <c r="Q11" s="673"/>
      <c r="R11" s="674"/>
      <c r="S11" s="675">
        <v>5000</v>
      </c>
      <c r="T11" s="667"/>
      <c r="U11" s="676"/>
      <c r="V11" s="662"/>
      <c r="W11" s="662"/>
      <c r="X11" s="811" t="e">
        <f>5000*#REF!</f>
        <v>#REF!</v>
      </c>
      <c r="Y11" s="809" t="e">
        <f>5000*#REF!</f>
        <v>#REF!</v>
      </c>
      <c r="Z11" s="572"/>
    </row>
    <row r="12" spans="1:26" ht="48.65" hidden="1" customHeight="1" thickBot="1" x14ac:dyDescent="0.35">
      <c r="A12" s="649">
        <v>4</v>
      </c>
      <c r="B12" s="662" t="s">
        <v>38</v>
      </c>
      <c r="C12" s="667" t="s">
        <v>45</v>
      </c>
      <c r="D12" s="667" t="s">
        <v>50</v>
      </c>
      <c r="E12" s="668" t="s">
        <v>66</v>
      </c>
      <c r="F12" s="669"/>
      <c r="G12" s="669"/>
      <c r="H12" s="669"/>
      <c r="I12" s="669"/>
      <c r="J12" s="662">
        <v>2.5</v>
      </c>
      <c r="K12" s="667" t="s">
        <v>137</v>
      </c>
      <c r="L12" s="678" t="s">
        <v>8</v>
      </c>
      <c r="M12" s="662">
        <f>15935+3078</f>
        <v>19013</v>
      </c>
      <c r="N12" s="662">
        <f>104.77+37.12</f>
        <v>141.88999999999999</v>
      </c>
      <c r="O12" s="671">
        <f t="shared" si="0"/>
        <v>6.57</v>
      </c>
      <c r="P12" s="672">
        <f t="shared" si="1"/>
        <v>880.36796109662419</v>
      </c>
      <c r="Q12" s="673"/>
      <c r="R12" s="674"/>
      <c r="S12" s="675">
        <v>5000</v>
      </c>
      <c r="T12" s="667"/>
      <c r="U12" s="676"/>
      <c r="V12" s="662"/>
      <c r="W12" s="662"/>
      <c r="X12" s="811" t="e">
        <f>5000*#REF!</f>
        <v>#REF!</v>
      </c>
      <c r="Y12" s="809" t="e">
        <f>5000*#REF!</f>
        <v>#REF!</v>
      </c>
      <c r="Z12" s="572"/>
    </row>
    <row r="13" spans="1:26" ht="48.65" hidden="1" customHeight="1" x14ac:dyDescent="0.3">
      <c r="A13" s="665">
        <v>5</v>
      </c>
      <c r="B13" s="662" t="s">
        <v>38</v>
      </c>
      <c r="C13" s="667" t="s">
        <v>45</v>
      </c>
      <c r="D13" s="667" t="s">
        <v>51</v>
      </c>
      <c r="E13" s="668" t="s">
        <v>67</v>
      </c>
      <c r="F13" s="669"/>
      <c r="G13" s="669"/>
      <c r="H13" s="669"/>
      <c r="I13" s="669"/>
      <c r="J13" s="662">
        <v>1</v>
      </c>
      <c r="K13" s="667" t="s">
        <v>83</v>
      </c>
      <c r="L13" s="678" t="s">
        <v>8</v>
      </c>
      <c r="M13" s="662">
        <f>15935+3078</f>
        <v>19013</v>
      </c>
      <c r="N13" s="662">
        <f>104.77+37.12</f>
        <v>141.88999999999999</v>
      </c>
      <c r="O13" s="671">
        <f t="shared" si="0"/>
        <v>3.5700000000000003</v>
      </c>
      <c r="P13" s="672">
        <f t="shared" si="1"/>
        <v>478.37345831277759</v>
      </c>
      <c r="Q13" s="673"/>
      <c r="R13" s="674"/>
      <c r="S13" s="675">
        <v>5000</v>
      </c>
      <c r="T13" s="667"/>
      <c r="U13" s="676"/>
      <c r="V13" s="662"/>
      <c r="W13" s="662"/>
      <c r="X13" s="811" t="e">
        <f>5000*#REF!</f>
        <v>#REF!</v>
      </c>
      <c r="Y13" s="809" t="e">
        <f>5000*#REF!</f>
        <v>#REF!</v>
      </c>
      <c r="Z13" s="572"/>
    </row>
    <row r="14" spans="1:26" ht="48.65" hidden="1" customHeight="1" thickBot="1" x14ac:dyDescent="0.35">
      <c r="A14" s="677">
        <v>6</v>
      </c>
      <c r="B14" s="662" t="s">
        <v>39</v>
      </c>
      <c r="C14" s="667" t="s">
        <v>45</v>
      </c>
      <c r="D14" s="667" t="s">
        <v>52</v>
      </c>
      <c r="E14" s="668" t="s">
        <v>68</v>
      </c>
      <c r="F14" s="669"/>
      <c r="G14" s="669"/>
      <c r="H14" s="669"/>
      <c r="I14" s="669"/>
      <c r="J14" s="662">
        <v>7</v>
      </c>
      <c r="K14" s="667" t="s">
        <v>83</v>
      </c>
      <c r="L14" s="678" t="s">
        <v>8</v>
      </c>
      <c r="M14" s="662">
        <f>15935+2785</f>
        <v>18720</v>
      </c>
      <c r="N14" s="662">
        <f>104.77+76.28</f>
        <v>181.05</v>
      </c>
      <c r="O14" s="671">
        <f t="shared" si="0"/>
        <v>15.57</v>
      </c>
      <c r="P14" s="672">
        <f t="shared" si="1"/>
        <v>1609.8889809444904</v>
      </c>
      <c r="Q14" s="673"/>
      <c r="R14" s="674"/>
      <c r="S14" s="675">
        <v>5000</v>
      </c>
      <c r="T14" s="667"/>
      <c r="U14" s="676"/>
      <c r="V14" s="662"/>
      <c r="W14" s="662"/>
      <c r="X14" s="812"/>
      <c r="Y14" s="813" t="e">
        <f>5000*#REF!</f>
        <v>#REF!</v>
      </c>
      <c r="Z14" s="572"/>
    </row>
    <row r="15" spans="1:26" ht="48.65" hidden="1" customHeight="1" x14ac:dyDescent="0.3">
      <c r="A15" s="649">
        <v>7</v>
      </c>
      <c r="B15" s="662" t="s">
        <v>40</v>
      </c>
      <c r="C15" s="667" t="s">
        <v>45</v>
      </c>
      <c r="D15" s="667" t="s">
        <v>53</v>
      </c>
      <c r="E15" s="668" t="s">
        <v>69</v>
      </c>
      <c r="F15" s="680"/>
      <c r="G15" s="680"/>
      <c r="H15" s="680"/>
      <c r="I15" s="680"/>
      <c r="J15" s="662">
        <v>2.65</v>
      </c>
      <c r="K15" s="667" t="s">
        <v>82</v>
      </c>
      <c r="L15" s="670" t="s">
        <v>85</v>
      </c>
      <c r="M15" s="662">
        <f>1222+4111</f>
        <v>5333</v>
      </c>
      <c r="N15" s="662">
        <f>21.93+43.4</f>
        <v>65.33</v>
      </c>
      <c r="O15" s="671">
        <f t="shared" si="0"/>
        <v>6.87</v>
      </c>
      <c r="P15" s="672">
        <f t="shared" si="1"/>
        <v>560.80988825960503</v>
      </c>
      <c r="Q15" s="673"/>
      <c r="R15" s="674"/>
      <c r="S15" s="675">
        <v>5000</v>
      </c>
      <c r="T15" s="667"/>
      <c r="U15" s="676"/>
      <c r="V15" s="662"/>
      <c r="W15" s="662"/>
      <c r="X15" s="811" t="e">
        <f>5000*#REF!</f>
        <v>#REF!</v>
      </c>
      <c r="Y15" s="813" t="e">
        <f>5000*#REF!</f>
        <v>#REF!</v>
      </c>
      <c r="Z15" s="572"/>
    </row>
    <row r="16" spans="1:26" ht="48.65" hidden="1" customHeight="1" x14ac:dyDescent="0.3">
      <c r="A16" s="665">
        <v>8</v>
      </c>
      <c r="B16" s="662" t="s">
        <v>41</v>
      </c>
      <c r="C16" s="667" t="s">
        <v>46</v>
      </c>
      <c r="D16" s="667" t="s">
        <v>54</v>
      </c>
      <c r="E16" s="668" t="s">
        <v>70</v>
      </c>
      <c r="F16" s="669"/>
      <c r="G16" s="669"/>
      <c r="H16" s="669"/>
      <c r="I16" s="669"/>
      <c r="J16" s="662">
        <v>2.7</v>
      </c>
      <c r="K16" s="667" t="s">
        <v>82</v>
      </c>
      <c r="L16" s="678" t="s">
        <v>8</v>
      </c>
      <c r="M16" s="662">
        <v>2049</v>
      </c>
      <c r="N16" s="662">
        <v>71.5</v>
      </c>
      <c r="O16" s="671">
        <f t="shared" si="0"/>
        <v>6.9700000000000006</v>
      </c>
      <c r="P16" s="672">
        <f t="shared" si="1"/>
        <v>199.74167832167834</v>
      </c>
      <c r="Q16" s="673"/>
      <c r="R16" s="674"/>
      <c r="S16" s="675">
        <v>5000</v>
      </c>
      <c r="T16" s="681"/>
      <c r="U16" s="676"/>
      <c r="V16" s="662"/>
      <c r="W16" s="662"/>
      <c r="X16" s="812"/>
      <c r="Y16" s="813" t="e">
        <f>5000*#REF!</f>
        <v>#REF!</v>
      </c>
      <c r="Z16" s="572"/>
    </row>
    <row r="17" spans="1:26" ht="48.65" hidden="1" customHeight="1" thickBot="1" x14ac:dyDescent="0.35">
      <c r="A17" s="677">
        <v>9</v>
      </c>
      <c r="B17" s="662" t="s">
        <v>41</v>
      </c>
      <c r="C17" s="667" t="s">
        <v>46</v>
      </c>
      <c r="D17" s="667" t="s">
        <v>55</v>
      </c>
      <c r="E17" s="668" t="s">
        <v>71</v>
      </c>
      <c r="F17" s="667"/>
      <c r="G17" s="667"/>
      <c r="H17" s="667"/>
      <c r="I17" s="667"/>
      <c r="J17" s="662">
        <v>2.7</v>
      </c>
      <c r="K17" s="667" t="s">
        <v>82</v>
      </c>
      <c r="L17" s="678" t="s">
        <v>8</v>
      </c>
      <c r="M17" s="662">
        <f>2049+2363</f>
        <v>4412</v>
      </c>
      <c r="N17" s="662">
        <f>71.5+56.75</f>
        <v>128.25</v>
      </c>
      <c r="O17" s="671">
        <f t="shared" si="0"/>
        <v>6.9700000000000006</v>
      </c>
      <c r="P17" s="672">
        <f t="shared" si="1"/>
        <v>239.7788693957115</v>
      </c>
      <c r="Q17" s="673"/>
      <c r="R17" s="674"/>
      <c r="S17" s="675">
        <v>5000</v>
      </c>
      <c r="T17" s="681"/>
      <c r="U17" s="676"/>
      <c r="V17" s="662"/>
      <c r="W17" s="662"/>
      <c r="X17" s="812"/>
      <c r="Y17" s="813" t="e">
        <f>5000*#REF!</f>
        <v>#REF!</v>
      </c>
      <c r="Z17" s="572"/>
    </row>
    <row r="18" spans="1:26" ht="48.65" hidden="1" customHeight="1" x14ac:dyDescent="0.3">
      <c r="A18" s="649">
        <v>10</v>
      </c>
      <c r="B18" s="666" t="s">
        <v>41</v>
      </c>
      <c r="C18" s="667" t="s">
        <v>46</v>
      </c>
      <c r="D18" s="667" t="s">
        <v>55</v>
      </c>
      <c r="E18" s="682" t="s">
        <v>72</v>
      </c>
      <c r="F18" s="669"/>
      <c r="G18" s="669"/>
      <c r="H18" s="669"/>
      <c r="I18" s="669"/>
      <c r="J18" s="662">
        <v>2.2999999999999998</v>
      </c>
      <c r="K18" s="667" t="s">
        <v>82</v>
      </c>
      <c r="L18" s="678" t="s">
        <v>8</v>
      </c>
      <c r="M18" s="662">
        <f>2049+2363</f>
        <v>4412</v>
      </c>
      <c r="N18" s="662">
        <f>71.5+56.75</f>
        <v>128.25</v>
      </c>
      <c r="O18" s="671">
        <f t="shared" si="0"/>
        <v>6.17</v>
      </c>
      <c r="P18" s="672">
        <f t="shared" si="1"/>
        <v>212.25762183235867</v>
      </c>
      <c r="Q18" s="673"/>
      <c r="R18" s="674"/>
      <c r="S18" s="675">
        <v>5000</v>
      </c>
      <c r="T18" s="667"/>
      <c r="U18" s="676"/>
      <c r="V18" s="662"/>
      <c r="W18" s="662"/>
      <c r="X18" s="812"/>
      <c r="Y18" s="813" t="e">
        <f>5000*#REF!</f>
        <v>#REF!</v>
      </c>
      <c r="Z18" s="572"/>
    </row>
    <row r="19" spans="1:26" ht="48.65" hidden="1" customHeight="1" x14ac:dyDescent="0.3">
      <c r="A19" s="665">
        <v>11</v>
      </c>
      <c r="B19" s="662" t="s">
        <v>41</v>
      </c>
      <c r="C19" s="667" t="s">
        <v>46</v>
      </c>
      <c r="D19" s="667" t="s">
        <v>56</v>
      </c>
      <c r="E19" s="683" t="s">
        <v>73</v>
      </c>
      <c r="F19" s="667"/>
      <c r="G19" s="667"/>
      <c r="H19" s="667"/>
      <c r="I19" s="667"/>
      <c r="J19" s="662">
        <v>2</v>
      </c>
      <c r="K19" s="667" t="s">
        <v>82</v>
      </c>
      <c r="L19" s="678" t="s">
        <v>8</v>
      </c>
      <c r="M19" s="662">
        <v>2049</v>
      </c>
      <c r="N19" s="662">
        <v>71.5</v>
      </c>
      <c r="O19" s="671">
        <f t="shared" si="0"/>
        <v>5.57</v>
      </c>
      <c r="P19" s="672">
        <f t="shared" si="1"/>
        <v>159.6213986013986</v>
      </c>
      <c r="Q19" s="673"/>
      <c r="R19" s="674"/>
      <c r="S19" s="675">
        <v>5000</v>
      </c>
      <c r="T19" s="667"/>
      <c r="U19" s="676"/>
      <c r="V19" s="662"/>
      <c r="W19" s="662"/>
      <c r="X19" s="812"/>
      <c r="Y19" s="813" t="e">
        <f>5000*#REF!</f>
        <v>#REF!</v>
      </c>
      <c r="Z19" s="572"/>
    </row>
    <row r="20" spans="1:26" ht="48.65" hidden="1" customHeight="1" thickBot="1" x14ac:dyDescent="0.35">
      <c r="A20" s="677">
        <v>12</v>
      </c>
      <c r="B20" s="684" t="s">
        <v>42</v>
      </c>
      <c r="C20" s="667" t="s">
        <v>45</v>
      </c>
      <c r="D20" s="667" t="s">
        <v>58</v>
      </c>
      <c r="E20" s="685" t="s">
        <v>76</v>
      </c>
      <c r="F20" s="680">
        <v>126.94337899999999</v>
      </c>
      <c r="G20" s="680">
        <v>-8.5426549999999999</v>
      </c>
      <c r="H20" s="680">
        <v>126.93016</v>
      </c>
      <c r="I20" s="680">
        <v>-8.5536960000000004</v>
      </c>
      <c r="J20" s="686">
        <v>2.7</v>
      </c>
      <c r="K20" s="667" t="s">
        <v>82</v>
      </c>
      <c r="L20" s="687" t="s">
        <v>25</v>
      </c>
      <c r="M20" s="688">
        <v>4111</v>
      </c>
      <c r="N20" s="662">
        <v>43.4</v>
      </c>
      <c r="O20" s="671">
        <f t="shared" si="0"/>
        <v>6.9700000000000006</v>
      </c>
      <c r="P20" s="672">
        <f t="shared" si="1"/>
        <v>660.22281105990794</v>
      </c>
      <c r="Q20" s="673"/>
      <c r="R20" s="674"/>
      <c r="S20" s="675">
        <v>5000</v>
      </c>
      <c r="T20" s="667"/>
      <c r="U20" s="668"/>
      <c r="V20" s="689"/>
      <c r="W20" s="689"/>
      <c r="X20" s="811" t="e">
        <f>5000*#REF!</f>
        <v>#REF!</v>
      </c>
      <c r="Y20" s="813" t="e">
        <f>5000*#REF!</f>
        <v>#REF!</v>
      </c>
      <c r="Z20" s="572"/>
    </row>
    <row r="21" spans="1:26" ht="48.65" hidden="1" customHeight="1" x14ac:dyDescent="0.3">
      <c r="A21" s="649">
        <v>13</v>
      </c>
      <c r="B21" s="684" t="s">
        <v>42</v>
      </c>
      <c r="C21" s="667" t="s">
        <v>46</v>
      </c>
      <c r="D21" s="667" t="s">
        <v>59</v>
      </c>
      <c r="E21" s="685" t="s">
        <v>77</v>
      </c>
      <c r="F21" s="669"/>
      <c r="G21" s="669"/>
      <c r="H21" s="669"/>
      <c r="I21" s="669"/>
      <c r="J21" s="686">
        <v>1.7</v>
      </c>
      <c r="K21" s="667" t="s">
        <v>82</v>
      </c>
      <c r="L21" s="687" t="s">
        <v>25</v>
      </c>
      <c r="M21" s="688">
        <f>2049+2363</f>
        <v>4412</v>
      </c>
      <c r="N21" s="662">
        <f>71.5+56.75</f>
        <v>128.25</v>
      </c>
      <c r="O21" s="671">
        <f t="shared" si="0"/>
        <v>4.97</v>
      </c>
      <c r="P21" s="672">
        <f t="shared" si="1"/>
        <v>170.97575048732941</v>
      </c>
      <c r="Q21" s="673"/>
      <c r="R21" s="674"/>
      <c r="S21" s="675">
        <v>5000</v>
      </c>
      <c r="T21" s="667"/>
      <c r="U21" s="668"/>
      <c r="V21" s="689"/>
      <c r="W21" s="689"/>
      <c r="X21" s="811" t="e">
        <f>5000*#REF!</f>
        <v>#REF!</v>
      </c>
      <c r="Y21" s="813" t="e">
        <f>5000*#REF!</f>
        <v>#REF!</v>
      </c>
      <c r="Z21" s="572"/>
    </row>
    <row r="22" spans="1:26" ht="48.65" hidden="1" customHeight="1" x14ac:dyDescent="0.3">
      <c r="A22" s="665">
        <v>14</v>
      </c>
      <c r="B22" s="684" t="s">
        <v>42</v>
      </c>
      <c r="C22" s="667" t="s">
        <v>46</v>
      </c>
      <c r="D22" s="667" t="s">
        <v>60</v>
      </c>
      <c r="E22" s="685" t="s">
        <v>78</v>
      </c>
      <c r="F22" s="669"/>
      <c r="G22" s="669"/>
      <c r="H22" s="669"/>
      <c r="I22" s="669"/>
      <c r="J22" s="686">
        <v>2</v>
      </c>
      <c r="K22" s="667" t="s">
        <v>82</v>
      </c>
      <c r="L22" s="687" t="s">
        <v>25</v>
      </c>
      <c r="M22" s="688">
        <f>2049+2363</f>
        <v>4412</v>
      </c>
      <c r="N22" s="662">
        <f>71.5+56.75</f>
        <v>128.25</v>
      </c>
      <c r="O22" s="671">
        <f t="shared" si="0"/>
        <v>5.57</v>
      </c>
      <c r="P22" s="672">
        <f t="shared" si="1"/>
        <v>191.61668615984405</v>
      </c>
      <c r="Q22" s="673"/>
      <c r="R22" s="674"/>
      <c r="S22" s="675">
        <v>5000</v>
      </c>
      <c r="T22" s="667"/>
      <c r="U22" s="668"/>
      <c r="V22" s="689"/>
      <c r="W22" s="689"/>
      <c r="X22" s="811" t="e">
        <f>5000*#REF!</f>
        <v>#REF!</v>
      </c>
      <c r="Y22" s="813" t="e">
        <f>5000*#REF!</f>
        <v>#REF!</v>
      </c>
      <c r="Z22" s="572"/>
    </row>
    <row r="23" spans="1:26" ht="48.65" hidden="1" customHeight="1" thickBot="1" x14ac:dyDescent="0.35">
      <c r="A23" s="677">
        <v>15</v>
      </c>
      <c r="B23" s="684" t="s">
        <v>42</v>
      </c>
      <c r="C23" s="667" t="s">
        <v>46</v>
      </c>
      <c r="D23" s="667" t="s">
        <v>61</v>
      </c>
      <c r="E23" s="685" t="s">
        <v>79</v>
      </c>
      <c r="F23" s="667"/>
      <c r="G23" s="667"/>
      <c r="H23" s="667"/>
      <c r="I23" s="667"/>
      <c r="J23" s="686">
        <v>2</v>
      </c>
      <c r="K23" s="667" t="s">
        <v>82</v>
      </c>
      <c r="L23" s="687" t="s">
        <v>25</v>
      </c>
      <c r="M23" s="688">
        <v>2049</v>
      </c>
      <c r="N23" s="662">
        <v>71.5</v>
      </c>
      <c r="O23" s="671">
        <f t="shared" si="0"/>
        <v>5.57</v>
      </c>
      <c r="P23" s="672">
        <f t="shared" si="1"/>
        <v>159.6213986013986</v>
      </c>
      <c r="Q23" s="673"/>
      <c r="R23" s="674"/>
      <c r="S23" s="675">
        <v>5000</v>
      </c>
      <c r="T23" s="667"/>
      <c r="U23" s="668"/>
      <c r="V23" s="689"/>
      <c r="W23" s="689"/>
      <c r="X23" s="811" t="e">
        <f>5000*#REF!</f>
        <v>#REF!</v>
      </c>
      <c r="Y23" s="813" t="e">
        <f>5000*#REF!</f>
        <v>#REF!</v>
      </c>
      <c r="Z23" s="572"/>
    </row>
    <row r="24" spans="1:26" ht="48.65" hidden="1" customHeight="1" x14ac:dyDescent="0.3">
      <c r="A24" s="649">
        <v>16</v>
      </c>
      <c r="B24" s="684" t="s">
        <v>42</v>
      </c>
      <c r="C24" s="667" t="s">
        <v>46</v>
      </c>
      <c r="D24" s="667" t="s">
        <v>62</v>
      </c>
      <c r="E24" s="685" t="s">
        <v>80</v>
      </c>
      <c r="F24" s="669"/>
      <c r="G24" s="669"/>
      <c r="H24" s="669"/>
      <c r="I24" s="669"/>
      <c r="J24" s="686">
        <v>2</v>
      </c>
      <c r="K24" s="667" t="s">
        <v>82</v>
      </c>
      <c r="L24" s="687" t="s">
        <v>25</v>
      </c>
      <c r="M24" s="688">
        <v>2049</v>
      </c>
      <c r="N24" s="662">
        <v>71.5</v>
      </c>
      <c r="O24" s="671">
        <f t="shared" si="0"/>
        <v>5.57</v>
      </c>
      <c r="P24" s="672">
        <f t="shared" si="1"/>
        <v>159.6213986013986</v>
      </c>
      <c r="Q24" s="673"/>
      <c r="R24" s="674"/>
      <c r="S24" s="675">
        <v>5000</v>
      </c>
      <c r="T24" s="667"/>
      <c r="U24" s="668"/>
      <c r="V24" s="689"/>
      <c r="W24" s="689"/>
      <c r="X24" s="811" t="e">
        <f>5000*#REF!</f>
        <v>#REF!</v>
      </c>
      <c r="Y24" s="813" t="e">
        <f>5000*#REF!</f>
        <v>#REF!</v>
      </c>
      <c r="Z24" s="572"/>
    </row>
    <row r="25" spans="1:26" ht="48.65" hidden="1" customHeight="1" x14ac:dyDescent="0.3">
      <c r="A25" s="665">
        <v>17</v>
      </c>
      <c r="B25" s="684" t="s">
        <v>42</v>
      </c>
      <c r="C25" s="667" t="s">
        <v>46</v>
      </c>
      <c r="D25" s="667" t="s">
        <v>62</v>
      </c>
      <c r="E25" s="685" t="s">
        <v>81</v>
      </c>
      <c r="F25" s="667"/>
      <c r="G25" s="667"/>
      <c r="H25" s="667"/>
      <c r="I25" s="667"/>
      <c r="J25" s="686">
        <v>2.7</v>
      </c>
      <c r="K25" s="667" t="s">
        <v>82</v>
      </c>
      <c r="L25" s="687" t="s">
        <v>25</v>
      </c>
      <c r="M25" s="688">
        <v>2049</v>
      </c>
      <c r="N25" s="662">
        <v>71.5</v>
      </c>
      <c r="O25" s="671">
        <f t="shared" si="0"/>
        <v>6.9700000000000006</v>
      </c>
      <c r="P25" s="672">
        <f t="shared" si="1"/>
        <v>199.74167832167834</v>
      </c>
      <c r="Q25" s="673"/>
      <c r="R25" s="674"/>
      <c r="S25" s="675">
        <v>5000</v>
      </c>
      <c r="T25" s="667"/>
      <c r="U25" s="668"/>
      <c r="V25" s="689"/>
      <c r="W25" s="689"/>
      <c r="X25" s="811" t="e">
        <f>5000*#REF!</f>
        <v>#REF!</v>
      </c>
      <c r="Y25" s="813" t="e">
        <f>5000*#REF!</f>
        <v>#REF!</v>
      </c>
      <c r="Z25" s="577"/>
    </row>
    <row r="26" spans="1:26" ht="18" customHeight="1" x14ac:dyDescent="0.3">
      <c r="A26" s="815"/>
      <c r="B26" s="816"/>
      <c r="C26" s="817"/>
      <c r="D26" s="817"/>
      <c r="E26" s="817"/>
      <c r="F26" s="817"/>
      <c r="G26" s="817"/>
      <c r="H26" s="817"/>
      <c r="I26" s="817"/>
      <c r="J26" s="818"/>
      <c r="K26" s="817"/>
      <c r="L26" s="819"/>
      <c r="M26" s="820"/>
      <c r="N26" s="820"/>
      <c r="O26" s="820"/>
      <c r="P26" s="821"/>
      <c r="Q26" s="822"/>
      <c r="R26" s="823"/>
      <c r="S26" s="824"/>
      <c r="T26" s="817"/>
      <c r="U26" s="817"/>
      <c r="V26" s="818"/>
      <c r="W26" s="818"/>
      <c r="X26" s="818"/>
      <c r="Y26" s="827"/>
      <c r="Z26" s="578"/>
    </row>
    <row r="27" spans="1:26" ht="46.25" customHeight="1" x14ac:dyDescent="0.3">
      <c r="A27" s="677">
        <v>1</v>
      </c>
      <c r="B27" s="666" t="s">
        <v>42</v>
      </c>
      <c r="C27" s="668" t="s">
        <v>95</v>
      </c>
      <c r="D27" s="668" t="s">
        <v>310</v>
      </c>
      <c r="E27" s="729" t="s">
        <v>309</v>
      </c>
      <c r="F27" s="730" t="s">
        <v>311</v>
      </c>
      <c r="G27" s="730" t="s">
        <v>312</v>
      </c>
      <c r="H27" s="730" t="s">
        <v>313</v>
      </c>
      <c r="I27" s="730" t="s">
        <v>314</v>
      </c>
      <c r="J27" s="718">
        <v>5.5</v>
      </c>
      <c r="K27" s="668" t="s">
        <v>302</v>
      </c>
      <c r="L27" s="829" t="s">
        <v>25</v>
      </c>
      <c r="M27" s="662">
        <f>1819+3376</f>
        <v>5195</v>
      </c>
      <c r="N27" s="662">
        <f>23.18+22.95</f>
        <v>46.129999999999995</v>
      </c>
      <c r="O27" s="668">
        <f t="shared" ref="O27:O28" si="2">(J27*2)+$O$2</f>
        <v>12.57</v>
      </c>
      <c r="P27" s="672">
        <f>(M27/N27)*O27</f>
        <v>1415.5896379796231</v>
      </c>
      <c r="Q27" s="721" t="e">
        <f>(P27*R27)/S27</f>
        <v>#DIV/0!</v>
      </c>
      <c r="R27" s="722">
        <v>20</v>
      </c>
      <c r="S27" s="723"/>
      <c r="T27" s="724">
        <f>586662.11+377898.71+388493.24+358697.82</f>
        <v>1711751.8800000001</v>
      </c>
      <c r="U27" s="678">
        <v>1</v>
      </c>
      <c r="V27" s="725"/>
      <c r="W27" s="718">
        <v>5.5</v>
      </c>
      <c r="X27" s="718">
        <f>J27-V27-W27</f>
        <v>0</v>
      </c>
      <c r="Y27" s="830">
        <f>J27-V27-W27-X27</f>
        <v>0</v>
      </c>
      <c r="Z27" s="573">
        <f>SUM(V27:Y27)</f>
        <v>5.5</v>
      </c>
    </row>
    <row r="28" spans="1:26" ht="46.25" customHeight="1" x14ac:dyDescent="0.3">
      <c r="A28" s="677">
        <v>2</v>
      </c>
      <c r="B28" s="684" t="s">
        <v>169</v>
      </c>
      <c r="C28" s="667" t="s">
        <v>95</v>
      </c>
      <c r="D28" s="667" t="s">
        <v>310</v>
      </c>
      <c r="E28" s="685" t="s">
        <v>319</v>
      </c>
      <c r="F28" s="680" t="s">
        <v>315</v>
      </c>
      <c r="G28" s="680" t="s">
        <v>316</v>
      </c>
      <c r="H28" s="680" t="s">
        <v>317</v>
      </c>
      <c r="I28" s="680" t="s">
        <v>318</v>
      </c>
      <c r="J28" s="718">
        <v>1.5</v>
      </c>
      <c r="K28" s="719" t="s">
        <v>84</v>
      </c>
      <c r="L28" s="678" t="s">
        <v>8</v>
      </c>
      <c r="M28" s="662">
        <f>3376+1819+952</f>
        <v>6147</v>
      </c>
      <c r="N28" s="662">
        <f>22.73+23.09+11.4</f>
        <v>57.22</v>
      </c>
      <c r="O28" s="668">
        <f t="shared" si="2"/>
        <v>4.57</v>
      </c>
      <c r="P28" s="672">
        <f t="shared" ref="P28" si="3">(M28/N28)*O28</f>
        <v>490.9435512058721</v>
      </c>
      <c r="Q28" s="727" t="e">
        <f t="shared" ref="Q28" si="4">(P28*R28)/S28</f>
        <v>#DIV/0!</v>
      </c>
      <c r="R28" s="674">
        <v>18</v>
      </c>
      <c r="S28" s="674"/>
      <c r="T28" s="686"/>
      <c r="U28" s="662">
        <v>2</v>
      </c>
      <c r="V28" s="725"/>
      <c r="W28" s="718"/>
      <c r="X28" s="718"/>
      <c r="Y28" s="830">
        <f t="shared" ref="Y28:Y30" si="5">J28-V28-W28-X28</f>
        <v>1.5</v>
      </c>
      <c r="Z28" s="573">
        <f t="shared" ref="Z28:Z34" si="6">SUM(V28:Y28)</f>
        <v>1.5</v>
      </c>
    </row>
    <row r="29" spans="1:26" ht="46.25" customHeight="1" x14ac:dyDescent="0.3">
      <c r="A29" s="832">
        <v>3</v>
      </c>
      <c r="B29" s="691" t="s">
        <v>169</v>
      </c>
      <c r="C29" s="692" t="s">
        <v>95</v>
      </c>
      <c r="D29" s="692" t="s">
        <v>310</v>
      </c>
      <c r="E29" s="693" t="s">
        <v>327</v>
      </c>
      <c r="F29" s="730" t="s">
        <v>323</v>
      </c>
      <c r="G29" s="730" t="s">
        <v>324</v>
      </c>
      <c r="H29" s="730" t="s">
        <v>325</v>
      </c>
      <c r="I29" s="730" t="s">
        <v>326</v>
      </c>
      <c r="J29" s="731">
        <v>1</v>
      </c>
      <c r="K29" s="833" t="s">
        <v>221</v>
      </c>
      <c r="L29" s="829" t="s">
        <v>25</v>
      </c>
      <c r="M29" s="697"/>
      <c r="N29" s="697"/>
      <c r="O29" s="703"/>
      <c r="P29" s="834"/>
      <c r="Q29" s="835"/>
      <c r="R29" s="701"/>
      <c r="S29" s="701"/>
      <c r="T29" s="694"/>
      <c r="U29" s="697"/>
      <c r="V29" s="788">
        <v>1</v>
      </c>
      <c r="W29" s="731"/>
      <c r="X29" s="731"/>
      <c r="Y29" s="830">
        <f t="shared" si="5"/>
        <v>0</v>
      </c>
      <c r="Z29" s="573">
        <f t="shared" si="6"/>
        <v>1</v>
      </c>
    </row>
    <row r="30" spans="1:26" ht="46.25" customHeight="1" x14ac:dyDescent="0.3">
      <c r="A30" s="832">
        <v>4</v>
      </c>
      <c r="B30" s="691" t="s">
        <v>176</v>
      </c>
      <c r="C30" s="692" t="s">
        <v>95</v>
      </c>
      <c r="D30" s="692" t="s">
        <v>128</v>
      </c>
      <c r="E30" s="693" t="s">
        <v>320</v>
      </c>
      <c r="F30" s="730" t="s">
        <v>321</v>
      </c>
      <c r="G30" s="730" t="s">
        <v>322</v>
      </c>
      <c r="H30" s="730" t="s">
        <v>430</v>
      </c>
      <c r="I30" s="730" t="s">
        <v>431</v>
      </c>
      <c r="J30" s="731">
        <v>5.5</v>
      </c>
      <c r="K30" s="833" t="s">
        <v>23</v>
      </c>
      <c r="L30" s="678" t="s">
        <v>8</v>
      </c>
      <c r="M30" s="697"/>
      <c r="N30" s="697"/>
      <c r="O30" s="703"/>
      <c r="P30" s="834"/>
      <c r="Q30" s="835"/>
      <c r="R30" s="701"/>
      <c r="S30" s="701"/>
      <c r="T30" s="694"/>
      <c r="U30" s="697"/>
      <c r="V30" s="788"/>
      <c r="W30" s="731"/>
      <c r="X30" s="731"/>
      <c r="Y30" s="830">
        <f t="shared" si="5"/>
        <v>5.5</v>
      </c>
      <c r="Z30" s="573">
        <f t="shared" si="6"/>
        <v>5.5</v>
      </c>
    </row>
    <row r="31" spans="1:26" ht="46.25" customHeight="1" thickBot="1" x14ac:dyDescent="0.35">
      <c r="A31" s="853"/>
      <c r="B31" s="854"/>
      <c r="C31" s="855"/>
      <c r="D31" s="855"/>
      <c r="E31" s="856"/>
      <c r="F31" s="857"/>
      <c r="G31" s="857"/>
      <c r="H31" s="857"/>
      <c r="I31" s="857"/>
      <c r="J31" s="844"/>
      <c r="K31" s="856"/>
      <c r="L31" s="854"/>
      <c r="M31" s="854"/>
      <c r="N31" s="854"/>
      <c r="O31" s="856"/>
      <c r="P31" s="858"/>
      <c r="Q31" s="859"/>
      <c r="R31" s="860"/>
      <c r="S31" s="860"/>
      <c r="T31" s="861"/>
      <c r="U31" s="854"/>
      <c r="V31" s="862"/>
      <c r="W31" s="844"/>
      <c r="X31" s="862"/>
      <c r="Y31" s="845"/>
      <c r="Z31" s="579">
        <f t="shared" si="6"/>
        <v>0</v>
      </c>
    </row>
    <row r="32" spans="1:26" ht="28.25" customHeight="1" x14ac:dyDescent="0.4">
      <c r="A32" s="1087" t="s">
        <v>332</v>
      </c>
      <c r="B32" s="1088"/>
      <c r="C32" s="1088"/>
      <c r="D32" s="1088"/>
      <c r="E32" s="1088"/>
      <c r="F32" s="1088"/>
      <c r="G32" s="1088"/>
      <c r="H32" s="1088"/>
      <c r="I32" s="1088"/>
      <c r="J32" s="1088"/>
      <c r="K32" s="1088"/>
      <c r="L32" s="790" t="s">
        <v>185</v>
      </c>
      <c r="M32" s="735">
        <f>SUM(J27:J28)</f>
        <v>7</v>
      </c>
      <c r="N32" s="736"/>
      <c r="O32" s="736"/>
      <c r="P32" s="737"/>
      <c r="Q32" s="738"/>
      <c r="R32" s="739"/>
      <c r="S32" s="739"/>
      <c r="T32" s="740"/>
      <c r="U32" s="741"/>
      <c r="V32" s="792">
        <f>V27</f>
        <v>0</v>
      </c>
      <c r="W32" s="792">
        <f>SUM(W27)</f>
        <v>5.5</v>
      </c>
      <c r="X32" s="792">
        <f>SUM(X27)</f>
        <v>0</v>
      </c>
      <c r="Y32" s="847">
        <f>SUM(Y27)</f>
        <v>0</v>
      </c>
      <c r="Z32" s="580">
        <f t="shared" si="6"/>
        <v>5.5</v>
      </c>
    </row>
    <row r="33" spans="1:26" ht="28.25" customHeight="1" x14ac:dyDescent="0.4">
      <c r="A33" s="1089"/>
      <c r="B33" s="1090"/>
      <c r="C33" s="1090"/>
      <c r="D33" s="1090"/>
      <c r="E33" s="1090"/>
      <c r="F33" s="1090"/>
      <c r="G33" s="1090"/>
      <c r="H33" s="1090"/>
      <c r="I33" s="1090"/>
      <c r="J33" s="1090"/>
      <c r="K33" s="1090"/>
      <c r="L33" s="794" t="s">
        <v>186</v>
      </c>
      <c r="M33" s="743">
        <f>SUM(J31:J31)</f>
        <v>0</v>
      </c>
      <c r="N33" s="744"/>
      <c r="O33" s="744"/>
      <c r="P33" s="745"/>
      <c r="Q33" s="746"/>
      <c r="R33" s="746"/>
      <c r="S33" s="747"/>
      <c r="T33" s="746"/>
      <c r="U33" s="746"/>
      <c r="V33" s="748">
        <f>SUM(V28:V29)</f>
        <v>1</v>
      </c>
      <c r="W33" s="748">
        <f>SUM(W28:W29)</f>
        <v>0</v>
      </c>
      <c r="X33" s="748">
        <f>SUM(X28:X29)</f>
        <v>0</v>
      </c>
      <c r="Y33" s="849">
        <f>SUM(Y28:Y29)</f>
        <v>1.5</v>
      </c>
      <c r="Z33" s="573">
        <f t="shared" si="6"/>
        <v>2.5</v>
      </c>
    </row>
    <row r="34" spans="1:26" ht="28.25" customHeight="1" x14ac:dyDescent="0.4">
      <c r="A34" s="1089"/>
      <c r="B34" s="1090"/>
      <c r="C34" s="1090"/>
      <c r="D34" s="1090"/>
      <c r="E34" s="1090"/>
      <c r="F34" s="1090"/>
      <c r="G34" s="1090"/>
      <c r="H34" s="1090"/>
      <c r="I34" s="1090"/>
      <c r="J34" s="1090"/>
      <c r="K34" s="1090"/>
      <c r="L34" s="794" t="s">
        <v>187</v>
      </c>
      <c r="M34" s="749">
        <v>0</v>
      </c>
      <c r="N34" s="750"/>
      <c r="O34" s="750"/>
      <c r="P34" s="751"/>
      <c r="Q34" s="746"/>
      <c r="R34" s="746"/>
      <c r="S34" s="747"/>
      <c r="T34" s="746"/>
      <c r="U34" s="746"/>
      <c r="V34" s="748">
        <f>SUM(V30)</f>
        <v>0</v>
      </c>
      <c r="W34" s="748">
        <f>W30</f>
        <v>0</v>
      </c>
      <c r="X34" s="748">
        <f>X30</f>
        <v>0</v>
      </c>
      <c r="Y34" s="849">
        <f>Y30</f>
        <v>5.5</v>
      </c>
      <c r="Z34" s="573">
        <f t="shared" si="6"/>
        <v>5.5</v>
      </c>
    </row>
    <row r="35" spans="1:26" ht="28.25" customHeight="1" thickBot="1" x14ac:dyDescent="0.45">
      <c r="A35" s="1091"/>
      <c r="B35" s="1092"/>
      <c r="C35" s="1092"/>
      <c r="D35" s="1092"/>
      <c r="E35" s="1092"/>
      <c r="F35" s="1092"/>
      <c r="G35" s="1092"/>
      <c r="H35" s="1092"/>
      <c r="I35" s="1092"/>
      <c r="J35" s="1092"/>
      <c r="K35" s="1092"/>
      <c r="L35" s="795" t="s">
        <v>20</v>
      </c>
      <c r="M35" s="752">
        <f>SUM(M32:M34)</f>
        <v>7</v>
      </c>
      <c r="N35" s="753"/>
      <c r="O35" s="753"/>
      <c r="P35" s="754"/>
      <c r="Q35" s="755"/>
      <c r="R35" s="755"/>
      <c r="S35" s="756"/>
      <c r="T35" s="755"/>
      <c r="U35" s="755"/>
      <c r="V35" s="757">
        <f>SUM(V32:V34)</f>
        <v>1</v>
      </c>
      <c r="W35" s="757">
        <f>SUM(W32:W34)</f>
        <v>5.5</v>
      </c>
      <c r="X35" s="757">
        <f>SUM(X32:X34)</f>
        <v>0</v>
      </c>
      <c r="Y35" s="852">
        <f>SUM(Y32:Y34)</f>
        <v>7</v>
      </c>
      <c r="Z35" s="574">
        <f>SUM(V35:Y35)</f>
        <v>13.5</v>
      </c>
    </row>
    <row r="36" spans="1:26" ht="20" x14ac:dyDescent="0.4">
      <c r="M36" s="390"/>
    </row>
    <row r="38" spans="1:26" ht="34.25" customHeight="1" x14ac:dyDescent="0.3"/>
    <row r="47" spans="1:26" ht="20" x14ac:dyDescent="0.4">
      <c r="E47" s="381"/>
    </row>
  </sheetData>
  <mergeCells count="37">
    <mergeCell ref="A32:K35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  <mergeCell ref="R3:R8"/>
    <mergeCell ref="V4:Z4"/>
    <mergeCell ref="Y5:Y6"/>
    <mergeCell ref="V7:V8"/>
    <mergeCell ref="W7:W8"/>
    <mergeCell ref="X7:X8"/>
    <mergeCell ref="Y7:Y8"/>
    <mergeCell ref="V3:Z3"/>
    <mergeCell ref="Z5:Z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Z45"/>
  <sheetViews>
    <sheetView view="pageBreakPreview" zoomScale="40" zoomScaleNormal="40" zoomScaleSheetLayoutView="40" workbookViewId="0">
      <selection activeCell="L28" sqref="L28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65.816406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18.81640625" style="15" customWidth="1"/>
    <col min="13" max="15" width="12" style="1" hidden="1" customWidth="1"/>
    <col min="16" max="18" width="13" style="1" hidden="1" customWidth="1"/>
    <col min="19" max="19" width="13" style="7" hidden="1" customWidth="1"/>
    <col min="20" max="20" width="5.81640625" style="1" hidden="1" customWidth="1"/>
    <col min="21" max="21" width="12.90625" style="1" hidden="1" customWidth="1"/>
    <col min="22" max="25" width="18.81640625" style="1" customWidth="1"/>
    <col min="26" max="27" width="13" style="1" customWidth="1"/>
    <col min="28" max="16384" width="8.81640625" style="1"/>
  </cols>
  <sheetData>
    <row r="1" spans="1:26" ht="93.65" customHeight="1" x14ac:dyDescent="0.3">
      <c r="A1" s="977" t="s">
        <v>300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</row>
    <row r="2" spans="1:26" ht="46.25" customHeight="1" thickBot="1" x14ac:dyDescent="0.35">
      <c r="O2" s="101">
        <f>((3.14*2^2)/4)/2</f>
        <v>1.57</v>
      </c>
    </row>
    <row r="3" spans="1:26" ht="34.25" customHeight="1" thickBot="1" x14ac:dyDescent="0.35">
      <c r="A3" s="1116" t="s">
        <v>33</v>
      </c>
      <c r="B3" s="1119" t="s">
        <v>167</v>
      </c>
      <c r="C3" s="1122" t="s">
        <v>0</v>
      </c>
      <c r="D3" s="1125" t="s">
        <v>150</v>
      </c>
      <c r="E3" s="1125" t="s">
        <v>2</v>
      </c>
      <c r="F3" s="1125" t="s">
        <v>3</v>
      </c>
      <c r="G3" s="1125"/>
      <c r="H3" s="1125" t="s">
        <v>147</v>
      </c>
      <c r="I3" s="1125"/>
      <c r="J3" s="1128" t="s">
        <v>6</v>
      </c>
      <c r="K3" s="1131" t="s">
        <v>26</v>
      </c>
      <c r="L3" s="1131"/>
      <c r="M3" s="1104" t="s">
        <v>27</v>
      </c>
      <c r="N3" s="1104" t="s">
        <v>28</v>
      </c>
      <c r="O3" s="1107" t="s">
        <v>32</v>
      </c>
      <c r="P3" s="1110" t="s">
        <v>139</v>
      </c>
      <c r="Q3" s="1113" t="s">
        <v>143</v>
      </c>
      <c r="R3" s="1101" t="s">
        <v>148</v>
      </c>
      <c r="S3" s="1183" t="s">
        <v>9</v>
      </c>
      <c r="T3" s="1183"/>
      <c r="U3" s="1197" t="s">
        <v>151</v>
      </c>
      <c r="V3" s="1201" t="s">
        <v>179</v>
      </c>
      <c r="W3" s="1137"/>
      <c r="X3" s="1137"/>
      <c r="Y3" s="1137"/>
      <c r="Z3" s="1138"/>
    </row>
    <row r="4" spans="1:26" ht="42" customHeight="1" x14ac:dyDescent="0.3">
      <c r="A4" s="1117"/>
      <c r="B4" s="1120"/>
      <c r="C4" s="1123"/>
      <c r="D4" s="1126"/>
      <c r="E4" s="1126"/>
      <c r="F4" s="1126"/>
      <c r="G4" s="1126"/>
      <c r="H4" s="1126"/>
      <c r="I4" s="1126"/>
      <c r="J4" s="1129"/>
      <c r="K4" s="1132"/>
      <c r="L4" s="1132"/>
      <c r="M4" s="1105"/>
      <c r="N4" s="1105"/>
      <c r="O4" s="1108"/>
      <c r="P4" s="1111"/>
      <c r="Q4" s="1114"/>
      <c r="R4" s="1102"/>
      <c r="S4" s="1184"/>
      <c r="T4" s="1184"/>
      <c r="U4" s="1198"/>
      <c r="V4" s="1204" t="s">
        <v>329</v>
      </c>
      <c r="W4" s="1205"/>
      <c r="X4" s="1205"/>
      <c r="Y4" s="1205"/>
      <c r="Z4" s="1206"/>
    </row>
    <row r="5" spans="1:26" ht="30" customHeight="1" x14ac:dyDescent="0.5">
      <c r="A5" s="1117"/>
      <c r="B5" s="1120"/>
      <c r="C5" s="1123"/>
      <c r="D5" s="1126"/>
      <c r="E5" s="1126"/>
      <c r="F5" s="1095" t="s">
        <v>4</v>
      </c>
      <c r="G5" s="1095" t="s">
        <v>5</v>
      </c>
      <c r="H5" s="1095" t="s">
        <v>4</v>
      </c>
      <c r="I5" s="1095" t="s">
        <v>5</v>
      </c>
      <c r="J5" s="1129"/>
      <c r="K5" s="1097" t="s">
        <v>7</v>
      </c>
      <c r="L5" s="645" t="s">
        <v>14</v>
      </c>
      <c r="M5" s="1105"/>
      <c r="N5" s="1105"/>
      <c r="O5" s="1108"/>
      <c r="P5" s="1111"/>
      <c r="Q5" s="1114"/>
      <c r="R5" s="1102"/>
      <c r="S5" s="1171" t="s">
        <v>10</v>
      </c>
      <c r="T5" s="1165" t="s">
        <v>11</v>
      </c>
      <c r="U5" s="1198"/>
      <c r="V5" s="1169" t="s">
        <v>181</v>
      </c>
      <c r="W5" s="1169" t="s">
        <v>182</v>
      </c>
      <c r="X5" s="1169" t="s">
        <v>183</v>
      </c>
      <c r="Y5" s="1169" t="s">
        <v>184</v>
      </c>
      <c r="Z5" s="1196" t="s">
        <v>11</v>
      </c>
    </row>
    <row r="6" spans="1:26" ht="30" customHeight="1" x14ac:dyDescent="0.5">
      <c r="A6" s="1117"/>
      <c r="B6" s="1120"/>
      <c r="C6" s="1123"/>
      <c r="D6" s="1126"/>
      <c r="E6" s="1126"/>
      <c r="F6" s="1095"/>
      <c r="G6" s="1095"/>
      <c r="H6" s="1095"/>
      <c r="I6" s="1095"/>
      <c r="J6" s="1129"/>
      <c r="K6" s="1097"/>
      <c r="L6" s="646" t="s">
        <v>15</v>
      </c>
      <c r="M6" s="1105"/>
      <c r="N6" s="1105"/>
      <c r="O6" s="1108"/>
      <c r="P6" s="1111"/>
      <c r="Q6" s="1114"/>
      <c r="R6" s="1102"/>
      <c r="S6" s="1171"/>
      <c r="T6" s="1165"/>
      <c r="U6" s="1198"/>
      <c r="V6" s="1170"/>
      <c r="W6" s="1170"/>
      <c r="X6" s="1170"/>
      <c r="Y6" s="1170"/>
      <c r="Z6" s="1196"/>
    </row>
    <row r="7" spans="1:26" ht="30" customHeight="1" x14ac:dyDescent="0.5">
      <c r="A7" s="1117"/>
      <c r="B7" s="1120"/>
      <c r="C7" s="1123"/>
      <c r="D7" s="1126"/>
      <c r="E7" s="1126"/>
      <c r="F7" s="1095"/>
      <c r="G7" s="1095"/>
      <c r="H7" s="1095"/>
      <c r="I7" s="1095"/>
      <c r="J7" s="1129"/>
      <c r="K7" s="1097"/>
      <c r="L7" s="647" t="s">
        <v>16</v>
      </c>
      <c r="M7" s="1105"/>
      <c r="N7" s="1105"/>
      <c r="O7" s="1108"/>
      <c r="P7" s="1111"/>
      <c r="Q7" s="1114"/>
      <c r="R7" s="1102"/>
      <c r="S7" s="1171"/>
      <c r="T7" s="1165"/>
      <c r="U7" s="1198"/>
      <c r="V7" s="1177" t="s">
        <v>180</v>
      </c>
      <c r="W7" s="1177" t="s">
        <v>13</v>
      </c>
      <c r="X7" s="1179" t="s">
        <v>13</v>
      </c>
      <c r="Y7" s="1202" t="s">
        <v>13</v>
      </c>
      <c r="Z7" s="1196"/>
    </row>
    <row r="8" spans="1:26" ht="30" customHeight="1" thickBot="1" x14ac:dyDescent="0.55000000000000004">
      <c r="A8" s="1118"/>
      <c r="B8" s="1121"/>
      <c r="C8" s="1124"/>
      <c r="D8" s="1127"/>
      <c r="E8" s="1127"/>
      <c r="F8" s="1096"/>
      <c r="G8" s="1096"/>
      <c r="H8" s="1096"/>
      <c r="I8" s="1096"/>
      <c r="J8" s="1130"/>
      <c r="K8" s="1098"/>
      <c r="L8" s="648"/>
      <c r="M8" s="1106"/>
      <c r="N8" s="1106"/>
      <c r="O8" s="1109"/>
      <c r="P8" s="1112"/>
      <c r="Q8" s="1115"/>
      <c r="R8" s="1103"/>
      <c r="S8" s="1172"/>
      <c r="T8" s="1166"/>
      <c r="U8" s="1199"/>
      <c r="V8" s="1178"/>
      <c r="W8" s="1178"/>
      <c r="X8" s="1180"/>
      <c r="Y8" s="1203"/>
      <c r="Z8" s="1196"/>
    </row>
    <row r="9" spans="1:26" ht="48.65" hidden="1" customHeight="1" thickBot="1" x14ac:dyDescent="0.35">
      <c r="A9" s="649">
        <v>1</v>
      </c>
      <c r="B9" s="650" t="s">
        <v>35</v>
      </c>
      <c r="C9" s="651" t="s">
        <v>43</v>
      </c>
      <c r="D9" s="651" t="s">
        <v>47</v>
      </c>
      <c r="E9" s="652" t="s">
        <v>63</v>
      </c>
      <c r="F9" s="653"/>
      <c r="G9" s="654"/>
      <c r="H9" s="654"/>
      <c r="I9" s="654"/>
      <c r="J9" s="650">
        <v>7</v>
      </c>
      <c r="K9" s="651" t="s">
        <v>82</v>
      </c>
      <c r="L9" s="655" t="s">
        <v>85</v>
      </c>
      <c r="M9" s="650">
        <f>3376+1819</f>
        <v>5195</v>
      </c>
      <c r="N9" s="650">
        <f>22.73+23.09</f>
        <v>45.82</v>
      </c>
      <c r="O9" s="656">
        <f>(J9*2)+$O$2</f>
        <v>15.57</v>
      </c>
      <c r="P9" s="657">
        <f>(M9/N9)*O9</f>
        <v>1765.3022697512006</v>
      </c>
      <c r="Q9" s="658"/>
      <c r="R9" s="659"/>
      <c r="S9" s="660">
        <v>5000</v>
      </c>
      <c r="T9" s="651"/>
      <c r="U9" s="661"/>
      <c r="V9" s="650"/>
      <c r="W9" s="650"/>
      <c r="X9" s="808" t="e">
        <f>5000*#REF!</f>
        <v>#REF!</v>
      </c>
      <c r="Y9" s="863" t="e">
        <f>5000*#REF!</f>
        <v>#REF!</v>
      </c>
      <c r="Z9" s="572"/>
    </row>
    <row r="10" spans="1:26" ht="48.65" hidden="1" customHeight="1" thickBot="1" x14ac:dyDescent="0.35">
      <c r="A10" s="665">
        <v>2</v>
      </c>
      <c r="B10" s="666" t="s">
        <v>36</v>
      </c>
      <c r="C10" s="667" t="s">
        <v>43</v>
      </c>
      <c r="D10" s="667" t="s">
        <v>48</v>
      </c>
      <c r="E10" s="668" t="s">
        <v>64</v>
      </c>
      <c r="F10" s="669"/>
      <c r="G10" s="669"/>
      <c r="H10" s="669"/>
      <c r="I10" s="669"/>
      <c r="J10" s="662">
        <v>6.5</v>
      </c>
      <c r="K10" s="667" t="s">
        <v>82</v>
      </c>
      <c r="L10" s="670" t="s">
        <v>85</v>
      </c>
      <c r="M10" s="662">
        <f>3376+1819+952</f>
        <v>6147</v>
      </c>
      <c r="N10" s="662">
        <f>22.73+23.09+11.4</f>
        <v>57.22</v>
      </c>
      <c r="O10" s="671">
        <f t="shared" ref="O10:O25" si="0">(J10*2)+$O$2</f>
        <v>14.57</v>
      </c>
      <c r="P10" s="672">
        <f t="shared" ref="P10:P25" si="1">(M10/N10)*O10</f>
        <v>1565.218280321566</v>
      </c>
      <c r="Q10" s="673"/>
      <c r="R10" s="674"/>
      <c r="S10" s="675">
        <v>5000</v>
      </c>
      <c r="T10" s="667"/>
      <c r="U10" s="676"/>
      <c r="V10" s="662"/>
      <c r="W10" s="662"/>
      <c r="X10" s="811" t="e">
        <f>5000*#REF!</f>
        <v>#REF!</v>
      </c>
      <c r="Y10" s="863" t="e">
        <f>5000*#REF!</f>
        <v>#REF!</v>
      </c>
      <c r="Z10" s="572"/>
    </row>
    <row r="11" spans="1:26" ht="48.65" hidden="1" customHeight="1" thickBot="1" x14ac:dyDescent="0.35">
      <c r="A11" s="677">
        <v>3</v>
      </c>
      <c r="B11" s="666" t="s">
        <v>37</v>
      </c>
      <c r="C11" s="667" t="s">
        <v>44</v>
      </c>
      <c r="D11" s="667" t="s">
        <v>49</v>
      </c>
      <c r="E11" s="668" t="s">
        <v>65</v>
      </c>
      <c r="F11" s="669"/>
      <c r="G11" s="669"/>
      <c r="H11" s="669"/>
      <c r="I11" s="669"/>
      <c r="J11" s="662">
        <v>10.5</v>
      </c>
      <c r="K11" s="667" t="s">
        <v>82</v>
      </c>
      <c r="L11" s="670" t="s">
        <v>85</v>
      </c>
      <c r="M11" s="662">
        <v>1077</v>
      </c>
      <c r="N11" s="662">
        <v>42.11</v>
      </c>
      <c r="O11" s="671">
        <f t="shared" si="0"/>
        <v>22.57</v>
      </c>
      <c r="P11" s="672">
        <f t="shared" si="1"/>
        <v>577.24744716219425</v>
      </c>
      <c r="Q11" s="673"/>
      <c r="R11" s="674"/>
      <c r="S11" s="675">
        <v>5000</v>
      </c>
      <c r="T11" s="667"/>
      <c r="U11" s="676"/>
      <c r="V11" s="662"/>
      <c r="W11" s="662"/>
      <c r="X11" s="811" t="e">
        <f>5000*#REF!</f>
        <v>#REF!</v>
      </c>
      <c r="Y11" s="863" t="e">
        <f>5000*#REF!</f>
        <v>#REF!</v>
      </c>
      <c r="Z11" s="572"/>
    </row>
    <row r="12" spans="1:26" ht="48.65" hidden="1" customHeight="1" thickBot="1" x14ac:dyDescent="0.35">
      <c r="A12" s="649">
        <v>4</v>
      </c>
      <c r="B12" s="662" t="s">
        <v>38</v>
      </c>
      <c r="C12" s="667" t="s">
        <v>45</v>
      </c>
      <c r="D12" s="667" t="s">
        <v>50</v>
      </c>
      <c r="E12" s="668" t="s">
        <v>66</v>
      </c>
      <c r="F12" s="669"/>
      <c r="G12" s="669"/>
      <c r="H12" s="669"/>
      <c r="I12" s="669"/>
      <c r="J12" s="662">
        <v>2.5</v>
      </c>
      <c r="K12" s="667" t="s">
        <v>137</v>
      </c>
      <c r="L12" s="678" t="s">
        <v>8</v>
      </c>
      <c r="M12" s="662">
        <f>15935+3078</f>
        <v>19013</v>
      </c>
      <c r="N12" s="662">
        <f>104.77+37.12</f>
        <v>141.88999999999999</v>
      </c>
      <c r="O12" s="671">
        <f t="shared" si="0"/>
        <v>6.57</v>
      </c>
      <c r="P12" s="672">
        <f t="shared" si="1"/>
        <v>880.36796109662419</v>
      </c>
      <c r="Q12" s="673"/>
      <c r="R12" s="674"/>
      <c r="S12" s="675">
        <v>5000</v>
      </c>
      <c r="T12" s="667"/>
      <c r="U12" s="676"/>
      <c r="V12" s="662"/>
      <c r="W12" s="662"/>
      <c r="X12" s="811" t="e">
        <f>5000*#REF!</f>
        <v>#REF!</v>
      </c>
      <c r="Y12" s="863" t="e">
        <f>5000*#REF!</f>
        <v>#REF!</v>
      </c>
      <c r="Z12" s="572"/>
    </row>
    <row r="13" spans="1:26" ht="48.65" hidden="1" customHeight="1" x14ac:dyDescent="0.3">
      <c r="A13" s="665">
        <v>5</v>
      </c>
      <c r="B13" s="662" t="s">
        <v>38</v>
      </c>
      <c r="C13" s="667" t="s">
        <v>45</v>
      </c>
      <c r="D13" s="667" t="s">
        <v>51</v>
      </c>
      <c r="E13" s="668" t="s">
        <v>67</v>
      </c>
      <c r="F13" s="669"/>
      <c r="G13" s="669"/>
      <c r="H13" s="669"/>
      <c r="I13" s="669"/>
      <c r="J13" s="662">
        <v>1</v>
      </c>
      <c r="K13" s="667" t="s">
        <v>83</v>
      </c>
      <c r="L13" s="678" t="s">
        <v>8</v>
      </c>
      <c r="M13" s="662">
        <f>15935+3078</f>
        <v>19013</v>
      </c>
      <c r="N13" s="662">
        <f>104.77+37.12</f>
        <v>141.88999999999999</v>
      </c>
      <c r="O13" s="671">
        <f t="shared" si="0"/>
        <v>3.5700000000000003</v>
      </c>
      <c r="P13" s="672">
        <f t="shared" si="1"/>
        <v>478.37345831277759</v>
      </c>
      <c r="Q13" s="673"/>
      <c r="R13" s="674"/>
      <c r="S13" s="675">
        <v>5000</v>
      </c>
      <c r="T13" s="667"/>
      <c r="U13" s="676"/>
      <c r="V13" s="662"/>
      <c r="W13" s="662"/>
      <c r="X13" s="811" t="e">
        <f>5000*#REF!</f>
        <v>#REF!</v>
      </c>
      <c r="Y13" s="863" t="e">
        <f>5000*#REF!</f>
        <v>#REF!</v>
      </c>
      <c r="Z13" s="572"/>
    </row>
    <row r="14" spans="1:26" ht="48.65" hidden="1" customHeight="1" thickBot="1" x14ac:dyDescent="0.35">
      <c r="A14" s="677">
        <v>6</v>
      </c>
      <c r="B14" s="662" t="s">
        <v>39</v>
      </c>
      <c r="C14" s="667" t="s">
        <v>45</v>
      </c>
      <c r="D14" s="667" t="s">
        <v>52</v>
      </c>
      <c r="E14" s="668" t="s">
        <v>68</v>
      </c>
      <c r="F14" s="669"/>
      <c r="G14" s="669"/>
      <c r="H14" s="669"/>
      <c r="I14" s="669"/>
      <c r="J14" s="662">
        <v>7</v>
      </c>
      <c r="K14" s="667" t="s">
        <v>83</v>
      </c>
      <c r="L14" s="678" t="s">
        <v>8</v>
      </c>
      <c r="M14" s="662">
        <f>15935+2785</f>
        <v>18720</v>
      </c>
      <c r="N14" s="662">
        <f>104.77+76.28</f>
        <v>181.05</v>
      </c>
      <c r="O14" s="671">
        <f t="shared" si="0"/>
        <v>15.57</v>
      </c>
      <c r="P14" s="672">
        <f t="shared" si="1"/>
        <v>1609.8889809444904</v>
      </c>
      <c r="Q14" s="673"/>
      <c r="R14" s="674"/>
      <c r="S14" s="675">
        <v>5000</v>
      </c>
      <c r="T14" s="667"/>
      <c r="U14" s="676"/>
      <c r="V14" s="662"/>
      <c r="W14" s="662"/>
      <c r="X14" s="812"/>
      <c r="Y14" s="864" t="e">
        <f>5000*#REF!</f>
        <v>#REF!</v>
      </c>
      <c r="Z14" s="572"/>
    </row>
    <row r="15" spans="1:26" ht="48.65" hidden="1" customHeight="1" x14ac:dyDescent="0.3">
      <c r="A15" s="649">
        <v>7</v>
      </c>
      <c r="B15" s="662" t="s">
        <v>40</v>
      </c>
      <c r="C15" s="667" t="s">
        <v>45</v>
      </c>
      <c r="D15" s="667" t="s">
        <v>53</v>
      </c>
      <c r="E15" s="668" t="s">
        <v>69</v>
      </c>
      <c r="F15" s="680"/>
      <c r="G15" s="680"/>
      <c r="H15" s="680"/>
      <c r="I15" s="680"/>
      <c r="J15" s="662">
        <v>2.65</v>
      </c>
      <c r="K15" s="667" t="s">
        <v>82</v>
      </c>
      <c r="L15" s="670" t="s">
        <v>85</v>
      </c>
      <c r="M15" s="662">
        <f>1222+4111</f>
        <v>5333</v>
      </c>
      <c r="N15" s="662">
        <f>21.93+43.4</f>
        <v>65.33</v>
      </c>
      <c r="O15" s="671">
        <f t="shared" si="0"/>
        <v>6.87</v>
      </c>
      <c r="P15" s="672">
        <f t="shared" si="1"/>
        <v>560.80988825960503</v>
      </c>
      <c r="Q15" s="673"/>
      <c r="R15" s="674"/>
      <c r="S15" s="675">
        <v>5000</v>
      </c>
      <c r="T15" s="667"/>
      <c r="U15" s="676"/>
      <c r="V15" s="662"/>
      <c r="W15" s="662"/>
      <c r="X15" s="811" t="e">
        <f>5000*#REF!</f>
        <v>#REF!</v>
      </c>
      <c r="Y15" s="864" t="e">
        <f>5000*#REF!</f>
        <v>#REF!</v>
      </c>
      <c r="Z15" s="572"/>
    </row>
    <row r="16" spans="1:26" ht="48.65" hidden="1" customHeight="1" x14ac:dyDescent="0.3">
      <c r="A16" s="665">
        <v>8</v>
      </c>
      <c r="B16" s="662" t="s">
        <v>41</v>
      </c>
      <c r="C16" s="667" t="s">
        <v>46</v>
      </c>
      <c r="D16" s="667" t="s">
        <v>54</v>
      </c>
      <c r="E16" s="668" t="s">
        <v>70</v>
      </c>
      <c r="F16" s="669"/>
      <c r="G16" s="669"/>
      <c r="H16" s="669"/>
      <c r="I16" s="669"/>
      <c r="J16" s="662">
        <v>2.7</v>
      </c>
      <c r="K16" s="667" t="s">
        <v>82</v>
      </c>
      <c r="L16" s="678" t="s">
        <v>8</v>
      </c>
      <c r="M16" s="662">
        <v>2049</v>
      </c>
      <c r="N16" s="662">
        <v>71.5</v>
      </c>
      <c r="O16" s="671">
        <f t="shared" si="0"/>
        <v>6.9700000000000006</v>
      </c>
      <c r="P16" s="672">
        <f t="shared" si="1"/>
        <v>199.74167832167834</v>
      </c>
      <c r="Q16" s="673"/>
      <c r="R16" s="674"/>
      <c r="S16" s="675">
        <v>5000</v>
      </c>
      <c r="T16" s="681"/>
      <c r="U16" s="676"/>
      <c r="V16" s="662"/>
      <c r="W16" s="662"/>
      <c r="X16" s="812"/>
      <c r="Y16" s="864" t="e">
        <f>5000*#REF!</f>
        <v>#REF!</v>
      </c>
      <c r="Z16" s="572"/>
    </row>
    <row r="17" spans="1:26" ht="48.65" hidden="1" customHeight="1" thickBot="1" x14ac:dyDescent="0.35">
      <c r="A17" s="677">
        <v>9</v>
      </c>
      <c r="B17" s="662" t="s">
        <v>41</v>
      </c>
      <c r="C17" s="667" t="s">
        <v>46</v>
      </c>
      <c r="D17" s="667" t="s">
        <v>55</v>
      </c>
      <c r="E17" s="668" t="s">
        <v>71</v>
      </c>
      <c r="F17" s="667"/>
      <c r="G17" s="667"/>
      <c r="H17" s="667"/>
      <c r="I17" s="667"/>
      <c r="J17" s="662">
        <v>2.7</v>
      </c>
      <c r="K17" s="667" t="s">
        <v>82</v>
      </c>
      <c r="L17" s="678" t="s">
        <v>8</v>
      </c>
      <c r="M17" s="662">
        <f>2049+2363</f>
        <v>4412</v>
      </c>
      <c r="N17" s="662">
        <f>71.5+56.75</f>
        <v>128.25</v>
      </c>
      <c r="O17" s="671">
        <f t="shared" si="0"/>
        <v>6.9700000000000006</v>
      </c>
      <c r="P17" s="672">
        <f t="shared" si="1"/>
        <v>239.7788693957115</v>
      </c>
      <c r="Q17" s="673"/>
      <c r="R17" s="674"/>
      <c r="S17" s="675">
        <v>5000</v>
      </c>
      <c r="T17" s="681"/>
      <c r="U17" s="676"/>
      <c r="V17" s="662"/>
      <c r="W17" s="662"/>
      <c r="X17" s="812"/>
      <c r="Y17" s="864" t="e">
        <f>5000*#REF!</f>
        <v>#REF!</v>
      </c>
      <c r="Z17" s="572"/>
    </row>
    <row r="18" spans="1:26" ht="48.65" hidden="1" customHeight="1" x14ac:dyDescent="0.3">
      <c r="A18" s="649">
        <v>10</v>
      </c>
      <c r="B18" s="666" t="s">
        <v>41</v>
      </c>
      <c r="C18" s="667" t="s">
        <v>46</v>
      </c>
      <c r="D18" s="667" t="s">
        <v>55</v>
      </c>
      <c r="E18" s="682" t="s">
        <v>72</v>
      </c>
      <c r="F18" s="669"/>
      <c r="G18" s="669"/>
      <c r="H18" s="669"/>
      <c r="I18" s="669"/>
      <c r="J18" s="662">
        <v>2.2999999999999998</v>
      </c>
      <c r="K18" s="667" t="s">
        <v>82</v>
      </c>
      <c r="L18" s="678" t="s">
        <v>8</v>
      </c>
      <c r="M18" s="662">
        <f>2049+2363</f>
        <v>4412</v>
      </c>
      <c r="N18" s="662">
        <f>71.5+56.75</f>
        <v>128.25</v>
      </c>
      <c r="O18" s="671">
        <f t="shared" si="0"/>
        <v>6.17</v>
      </c>
      <c r="P18" s="672">
        <f t="shared" si="1"/>
        <v>212.25762183235867</v>
      </c>
      <c r="Q18" s="673"/>
      <c r="R18" s="674"/>
      <c r="S18" s="675">
        <v>5000</v>
      </c>
      <c r="T18" s="667"/>
      <c r="U18" s="676"/>
      <c r="V18" s="662"/>
      <c r="W18" s="662"/>
      <c r="X18" s="812"/>
      <c r="Y18" s="864" t="e">
        <f>5000*#REF!</f>
        <v>#REF!</v>
      </c>
      <c r="Z18" s="572"/>
    </row>
    <row r="19" spans="1:26" ht="48.65" hidden="1" customHeight="1" x14ac:dyDescent="0.3">
      <c r="A19" s="665">
        <v>11</v>
      </c>
      <c r="B19" s="662" t="s">
        <v>41</v>
      </c>
      <c r="C19" s="667" t="s">
        <v>46</v>
      </c>
      <c r="D19" s="667" t="s">
        <v>56</v>
      </c>
      <c r="E19" s="683" t="s">
        <v>73</v>
      </c>
      <c r="F19" s="667"/>
      <c r="G19" s="667"/>
      <c r="H19" s="667"/>
      <c r="I19" s="667"/>
      <c r="J19" s="662">
        <v>2</v>
      </c>
      <c r="K19" s="667" t="s">
        <v>82</v>
      </c>
      <c r="L19" s="678" t="s">
        <v>8</v>
      </c>
      <c r="M19" s="662">
        <v>2049</v>
      </c>
      <c r="N19" s="662">
        <v>71.5</v>
      </c>
      <c r="O19" s="671">
        <f t="shared" si="0"/>
        <v>5.57</v>
      </c>
      <c r="P19" s="672">
        <f t="shared" si="1"/>
        <v>159.6213986013986</v>
      </c>
      <c r="Q19" s="673"/>
      <c r="R19" s="674"/>
      <c r="S19" s="675">
        <v>5000</v>
      </c>
      <c r="T19" s="667"/>
      <c r="U19" s="676"/>
      <c r="V19" s="662"/>
      <c r="W19" s="662"/>
      <c r="X19" s="812"/>
      <c r="Y19" s="864" t="e">
        <f>5000*#REF!</f>
        <v>#REF!</v>
      </c>
      <c r="Z19" s="572"/>
    </row>
    <row r="20" spans="1:26" ht="48.65" hidden="1" customHeight="1" thickBot="1" x14ac:dyDescent="0.35">
      <c r="A20" s="677">
        <v>12</v>
      </c>
      <c r="B20" s="684" t="s">
        <v>42</v>
      </c>
      <c r="C20" s="667" t="s">
        <v>45</v>
      </c>
      <c r="D20" s="667" t="s">
        <v>58</v>
      </c>
      <c r="E20" s="685" t="s">
        <v>76</v>
      </c>
      <c r="F20" s="680">
        <v>126.94337899999999</v>
      </c>
      <c r="G20" s="680">
        <v>-8.5426549999999999</v>
      </c>
      <c r="H20" s="680">
        <v>126.93016</v>
      </c>
      <c r="I20" s="680">
        <v>-8.5536960000000004</v>
      </c>
      <c r="J20" s="686">
        <v>2.7</v>
      </c>
      <c r="K20" s="667" t="s">
        <v>82</v>
      </c>
      <c r="L20" s="687" t="s">
        <v>25</v>
      </c>
      <c r="M20" s="688">
        <v>4111</v>
      </c>
      <c r="N20" s="662">
        <v>43.4</v>
      </c>
      <c r="O20" s="671">
        <f t="shared" si="0"/>
        <v>6.9700000000000006</v>
      </c>
      <c r="P20" s="672">
        <f t="shared" si="1"/>
        <v>660.22281105990794</v>
      </c>
      <c r="Q20" s="673"/>
      <c r="R20" s="674"/>
      <c r="S20" s="675">
        <v>5000</v>
      </c>
      <c r="T20" s="667"/>
      <c r="U20" s="668"/>
      <c r="V20" s="689"/>
      <c r="W20" s="689"/>
      <c r="X20" s="811" t="e">
        <f>5000*#REF!</f>
        <v>#REF!</v>
      </c>
      <c r="Y20" s="864" t="e">
        <f>5000*#REF!</f>
        <v>#REF!</v>
      </c>
      <c r="Z20" s="572"/>
    </row>
    <row r="21" spans="1:26" ht="48.65" hidden="1" customHeight="1" x14ac:dyDescent="0.3">
      <c r="A21" s="649">
        <v>13</v>
      </c>
      <c r="B21" s="684" t="s">
        <v>42</v>
      </c>
      <c r="C21" s="667" t="s">
        <v>46</v>
      </c>
      <c r="D21" s="667" t="s">
        <v>59</v>
      </c>
      <c r="E21" s="685" t="s">
        <v>77</v>
      </c>
      <c r="F21" s="669"/>
      <c r="G21" s="669"/>
      <c r="H21" s="669"/>
      <c r="I21" s="669"/>
      <c r="J21" s="686">
        <v>1.7</v>
      </c>
      <c r="K21" s="667" t="s">
        <v>82</v>
      </c>
      <c r="L21" s="687" t="s">
        <v>25</v>
      </c>
      <c r="M21" s="688">
        <f>2049+2363</f>
        <v>4412</v>
      </c>
      <c r="N21" s="662">
        <f>71.5+56.75</f>
        <v>128.25</v>
      </c>
      <c r="O21" s="671">
        <f t="shared" si="0"/>
        <v>4.97</v>
      </c>
      <c r="P21" s="672">
        <f t="shared" si="1"/>
        <v>170.97575048732941</v>
      </c>
      <c r="Q21" s="673"/>
      <c r="R21" s="674"/>
      <c r="S21" s="675">
        <v>5000</v>
      </c>
      <c r="T21" s="667"/>
      <c r="U21" s="668"/>
      <c r="V21" s="689"/>
      <c r="W21" s="689"/>
      <c r="X21" s="811" t="e">
        <f>5000*#REF!</f>
        <v>#REF!</v>
      </c>
      <c r="Y21" s="864" t="e">
        <f>5000*#REF!</f>
        <v>#REF!</v>
      </c>
      <c r="Z21" s="572"/>
    </row>
    <row r="22" spans="1:26" ht="48.65" hidden="1" customHeight="1" x14ac:dyDescent="0.3">
      <c r="A22" s="665">
        <v>14</v>
      </c>
      <c r="B22" s="684" t="s">
        <v>42</v>
      </c>
      <c r="C22" s="667" t="s">
        <v>46</v>
      </c>
      <c r="D22" s="667" t="s">
        <v>60</v>
      </c>
      <c r="E22" s="685" t="s">
        <v>78</v>
      </c>
      <c r="F22" s="669"/>
      <c r="G22" s="669"/>
      <c r="H22" s="669"/>
      <c r="I22" s="669"/>
      <c r="J22" s="686">
        <v>2</v>
      </c>
      <c r="K22" s="667" t="s">
        <v>82</v>
      </c>
      <c r="L22" s="687" t="s">
        <v>25</v>
      </c>
      <c r="M22" s="688">
        <f>2049+2363</f>
        <v>4412</v>
      </c>
      <c r="N22" s="662">
        <f>71.5+56.75</f>
        <v>128.25</v>
      </c>
      <c r="O22" s="671">
        <f t="shared" si="0"/>
        <v>5.57</v>
      </c>
      <c r="P22" s="672">
        <f t="shared" si="1"/>
        <v>191.61668615984405</v>
      </c>
      <c r="Q22" s="673"/>
      <c r="R22" s="674"/>
      <c r="S22" s="675">
        <v>5000</v>
      </c>
      <c r="T22" s="667"/>
      <c r="U22" s="668"/>
      <c r="V22" s="689"/>
      <c r="W22" s="689"/>
      <c r="X22" s="811" t="e">
        <f>5000*#REF!</f>
        <v>#REF!</v>
      </c>
      <c r="Y22" s="864" t="e">
        <f>5000*#REF!</f>
        <v>#REF!</v>
      </c>
      <c r="Z22" s="572"/>
    </row>
    <row r="23" spans="1:26" ht="48.65" hidden="1" customHeight="1" thickBot="1" x14ac:dyDescent="0.35">
      <c r="A23" s="677">
        <v>15</v>
      </c>
      <c r="B23" s="684" t="s">
        <v>42</v>
      </c>
      <c r="C23" s="667" t="s">
        <v>46</v>
      </c>
      <c r="D23" s="667" t="s">
        <v>61</v>
      </c>
      <c r="E23" s="685" t="s">
        <v>79</v>
      </c>
      <c r="F23" s="667"/>
      <c r="G23" s="667"/>
      <c r="H23" s="667"/>
      <c r="I23" s="667"/>
      <c r="J23" s="686">
        <v>2</v>
      </c>
      <c r="K23" s="667" t="s">
        <v>82</v>
      </c>
      <c r="L23" s="687" t="s">
        <v>25</v>
      </c>
      <c r="M23" s="688">
        <v>2049</v>
      </c>
      <c r="N23" s="662">
        <v>71.5</v>
      </c>
      <c r="O23" s="671">
        <f t="shared" si="0"/>
        <v>5.57</v>
      </c>
      <c r="P23" s="672">
        <f t="shared" si="1"/>
        <v>159.6213986013986</v>
      </c>
      <c r="Q23" s="673"/>
      <c r="R23" s="674"/>
      <c r="S23" s="675">
        <v>5000</v>
      </c>
      <c r="T23" s="667"/>
      <c r="U23" s="668"/>
      <c r="V23" s="689"/>
      <c r="W23" s="689"/>
      <c r="X23" s="811" t="e">
        <f>5000*#REF!</f>
        <v>#REF!</v>
      </c>
      <c r="Y23" s="864" t="e">
        <f>5000*#REF!</f>
        <v>#REF!</v>
      </c>
      <c r="Z23" s="572"/>
    </row>
    <row r="24" spans="1:26" ht="48.65" hidden="1" customHeight="1" x14ac:dyDescent="0.3">
      <c r="A24" s="649">
        <v>16</v>
      </c>
      <c r="B24" s="684" t="s">
        <v>42</v>
      </c>
      <c r="C24" s="667" t="s">
        <v>46</v>
      </c>
      <c r="D24" s="667" t="s">
        <v>62</v>
      </c>
      <c r="E24" s="685" t="s">
        <v>80</v>
      </c>
      <c r="F24" s="669"/>
      <c r="G24" s="669"/>
      <c r="H24" s="669"/>
      <c r="I24" s="669"/>
      <c r="J24" s="686">
        <v>2</v>
      </c>
      <c r="K24" s="667" t="s">
        <v>82</v>
      </c>
      <c r="L24" s="687" t="s">
        <v>25</v>
      </c>
      <c r="M24" s="688">
        <v>2049</v>
      </c>
      <c r="N24" s="662">
        <v>71.5</v>
      </c>
      <c r="O24" s="671">
        <f t="shared" si="0"/>
        <v>5.57</v>
      </c>
      <c r="P24" s="672">
        <f t="shared" si="1"/>
        <v>159.6213986013986</v>
      </c>
      <c r="Q24" s="673"/>
      <c r="R24" s="674"/>
      <c r="S24" s="675">
        <v>5000</v>
      </c>
      <c r="T24" s="667"/>
      <c r="U24" s="668"/>
      <c r="V24" s="689"/>
      <c r="W24" s="689"/>
      <c r="X24" s="811" t="e">
        <f>5000*#REF!</f>
        <v>#REF!</v>
      </c>
      <c r="Y24" s="864" t="e">
        <f>5000*#REF!</f>
        <v>#REF!</v>
      </c>
      <c r="Z24" s="572"/>
    </row>
    <row r="25" spans="1:26" ht="48.65" hidden="1" customHeight="1" x14ac:dyDescent="0.3">
      <c r="A25" s="665">
        <v>17</v>
      </c>
      <c r="B25" s="684" t="s">
        <v>42</v>
      </c>
      <c r="C25" s="667" t="s">
        <v>46</v>
      </c>
      <c r="D25" s="667" t="s">
        <v>62</v>
      </c>
      <c r="E25" s="685" t="s">
        <v>81</v>
      </c>
      <c r="F25" s="667"/>
      <c r="G25" s="667"/>
      <c r="H25" s="667"/>
      <c r="I25" s="667"/>
      <c r="J25" s="686">
        <v>2.7</v>
      </c>
      <c r="K25" s="667" t="s">
        <v>82</v>
      </c>
      <c r="L25" s="687" t="s">
        <v>25</v>
      </c>
      <c r="M25" s="688">
        <v>2049</v>
      </c>
      <c r="N25" s="662">
        <v>71.5</v>
      </c>
      <c r="O25" s="671">
        <f t="shared" si="0"/>
        <v>6.9700000000000006</v>
      </c>
      <c r="P25" s="672">
        <f t="shared" si="1"/>
        <v>199.74167832167834</v>
      </c>
      <c r="Q25" s="673"/>
      <c r="R25" s="674"/>
      <c r="S25" s="675">
        <v>5000</v>
      </c>
      <c r="T25" s="667"/>
      <c r="U25" s="668"/>
      <c r="V25" s="689"/>
      <c r="W25" s="689"/>
      <c r="X25" s="811" t="e">
        <f>5000*#REF!</f>
        <v>#REF!</v>
      </c>
      <c r="Y25" s="864" t="e">
        <f>5000*#REF!</f>
        <v>#REF!</v>
      </c>
      <c r="Z25" s="577"/>
    </row>
    <row r="26" spans="1:26" ht="18" customHeight="1" x14ac:dyDescent="0.3">
      <c r="A26" s="815"/>
      <c r="B26" s="816"/>
      <c r="C26" s="817"/>
      <c r="D26" s="817"/>
      <c r="E26" s="817"/>
      <c r="F26" s="817"/>
      <c r="G26" s="817"/>
      <c r="H26" s="817"/>
      <c r="I26" s="817"/>
      <c r="J26" s="818"/>
      <c r="K26" s="817"/>
      <c r="L26" s="819"/>
      <c r="M26" s="820"/>
      <c r="N26" s="820"/>
      <c r="O26" s="820"/>
      <c r="P26" s="821"/>
      <c r="Q26" s="822"/>
      <c r="R26" s="823"/>
      <c r="S26" s="824"/>
      <c r="T26" s="817"/>
      <c r="U26" s="817"/>
      <c r="V26" s="818"/>
      <c r="W26" s="818"/>
      <c r="X26" s="818"/>
      <c r="Y26" s="865"/>
      <c r="Z26" s="578"/>
    </row>
    <row r="27" spans="1:26" ht="46.25" customHeight="1" x14ac:dyDescent="0.3">
      <c r="A27" s="677">
        <v>1</v>
      </c>
      <c r="B27" s="666" t="s">
        <v>42</v>
      </c>
      <c r="C27" s="668" t="s">
        <v>94</v>
      </c>
      <c r="D27" s="668" t="s">
        <v>94</v>
      </c>
      <c r="E27" s="729" t="s">
        <v>301</v>
      </c>
      <c r="F27" s="730">
        <v>127.255039</v>
      </c>
      <c r="G27" s="730">
        <v>-8.3953900000000008</v>
      </c>
      <c r="H27" s="730">
        <v>127.300624</v>
      </c>
      <c r="I27" s="730">
        <v>-8.4146269999999994</v>
      </c>
      <c r="J27" s="718">
        <v>8</v>
      </c>
      <c r="K27" s="668" t="s">
        <v>302</v>
      </c>
      <c r="L27" s="829" t="s">
        <v>25</v>
      </c>
      <c r="M27" s="662">
        <f>1819+3376</f>
        <v>5195</v>
      </c>
      <c r="N27" s="662">
        <f>23.18+22.95</f>
        <v>46.129999999999995</v>
      </c>
      <c r="O27" s="668">
        <f t="shared" ref="O27:O28" si="2">(J27*2)+$O$2</f>
        <v>17.57</v>
      </c>
      <c r="P27" s="672">
        <f>(M27/N27)*O27</f>
        <v>1978.6722306525041</v>
      </c>
      <c r="Q27" s="721" t="e">
        <f>(P27*R27)/S27</f>
        <v>#DIV/0!</v>
      </c>
      <c r="R27" s="722">
        <v>20</v>
      </c>
      <c r="S27" s="723"/>
      <c r="T27" s="724">
        <f>586662.11+377898.71+388493.24+358697.82</f>
        <v>1711751.8800000001</v>
      </c>
      <c r="U27" s="678">
        <v>1</v>
      </c>
      <c r="V27" s="725">
        <v>8</v>
      </c>
      <c r="W27" s="718"/>
      <c r="X27" s="718">
        <f>J27-V27-W27</f>
        <v>0</v>
      </c>
      <c r="Y27" s="726">
        <f>J27-V27-W27-X27</f>
        <v>0</v>
      </c>
      <c r="Z27" s="573">
        <f>SUM(V27:Y27)</f>
        <v>8</v>
      </c>
    </row>
    <row r="28" spans="1:26" ht="46.25" customHeight="1" x14ac:dyDescent="0.3">
      <c r="A28" s="677">
        <v>2</v>
      </c>
      <c r="B28" s="684" t="s">
        <v>42</v>
      </c>
      <c r="C28" s="667" t="s">
        <v>94</v>
      </c>
      <c r="D28" s="667" t="s">
        <v>303</v>
      </c>
      <c r="E28" s="685" t="s">
        <v>304</v>
      </c>
      <c r="F28" s="680" t="s">
        <v>305</v>
      </c>
      <c r="G28" s="680" t="s">
        <v>306</v>
      </c>
      <c r="H28" s="680" t="s">
        <v>307</v>
      </c>
      <c r="I28" s="680" t="s">
        <v>308</v>
      </c>
      <c r="J28" s="718">
        <v>8.26</v>
      </c>
      <c r="K28" s="719" t="s">
        <v>84</v>
      </c>
      <c r="L28" s="670" t="s">
        <v>85</v>
      </c>
      <c r="M28" s="662">
        <f>3376+1819+952</f>
        <v>6147</v>
      </c>
      <c r="N28" s="662">
        <f>22.73+23.09+11.4</f>
        <v>57.22</v>
      </c>
      <c r="O28" s="668">
        <f t="shared" si="2"/>
        <v>18.09</v>
      </c>
      <c r="P28" s="672">
        <f t="shared" ref="P28" si="3">(M28/N28)*O28</f>
        <v>1943.3629849702902</v>
      </c>
      <c r="Q28" s="727" t="e">
        <f t="shared" ref="Q28" si="4">(P28*R28)/S28</f>
        <v>#DIV/0!</v>
      </c>
      <c r="R28" s="674">
        <v>18</v>
      </c>
      <c r="S28" s="674"/>
      <c r="T28" s="686"/>
      <c r="U28" s="662">
        <v>2</v>
      </c>
      <c r="V28" s="725"/>
      <c r="W28" s="718"/>
      <c r="X28" s="718"/>
      <c r="Y28" s="726">
        <f t="shared" ref="Y28" si="5">J28-V28-W28-X28</f>
        <v>8.26</v>
      </c>
      <c r="Z28" s="573">
        <f t="shared" ref="Z28:Z32" si="6">SUM(V28:Y28)</f>
        <v>8.26</v>
      </c>
    </row>
    <row r="29" spans="1:26" ht="46.25" customHeight="1" thickBot="1" x14ac:dyDescent="0.35">
      <c r="A29" s="853"/>
      <c r="B29" s="854"/>
      <c r="C29" s="855"/>
      <c r="D29" s="855"/>
      <c r="E29" s="856"/>
      <c r="F29" s="857"/>
      <c r="G29" s="857"/>
      <c r="H29" s="857"/>
      <c r="I29" s="857"/>
      <c r="J29" s="844"/>
      <c r="K29" s="856"/>
      <c r="L29" s="854"/>
      <c r="M29" s="854"/>
      <c r="N29" s="854"/>
      <c r="O29" s="856"/>
      <c r="P29" s="858"/>
      <c r="Q29" s="859"/>
      <c r="R29" s="860"/>
      <c r="S29" s="860"/>
      <c r="T29" s="861"/>
      <c r="U29" s="854"/>
      <c r="V29" s="862"/>
      <c r="W29" s="844"/>
      <c r="X29" s="862"/>
      <c r="Y29" s="866"/>
      <c r="Z29" s="579">
        <f t="shared" si="6"/>
        <v>0</v>
      </c>
    </row>
    <row r="30" spans="1:26" ht="28.25" customHeight="1" x14ac:dyDescent="0.4">
      <c r="A30" s="1087" t="s">
        <v>331</v>
      </c>
      <c r="B30" s="1088"/>
      <c r="C30" s="1088"/>
      <c r="D30" s="1088"/>
      <c r="E30" s="1088"/>
      <c r="F30" s="1088"/>
      <c r="G30" s="1088"/>
      <c r="H30" s="1088"/>
      <c r="I30" s="1088"/>
      <c r="J30" s="1088"/>
      <c r="K30" s="1088"/>
      <c r="L30" s="790" t="s">
        <v>185</v>
      </c>
      <c r="M30" s="735">
        <f>SUM(J27:J28)</f>
        <v>16.259999999999998</v>
      </c>
      <c r="N30" s="736"/>
      <c r="O30" s="736"/>
      <c r="P30" s="737"/>
      <c r="Q30" s="738"/>
      <c r="R30" s="739"/>
      <c r="S30" s="739"/>
      <c r="T30" s="740"/>
      <c r="U30" s="741"/>
      <c r="V30" s="792">
        <f>SUM(V27:V28)</f>
        <v>8</v>
      </c>
      <c r="W30" s="792">
        <f>SUM(W27:W28)</f>
        <v>0</v>
      </c>
      <c r="X30" s="792">
        <f>SUM(X27:X28)</f>
        <v>0</v>
      </c>
      <c r="Y30" s="847">
        <f>SUM(Y27:Y28)</f>
        <v>8.26</v>
      </c>
      <c r="Z30" s="580">
        <f t="shared" si="6"/>
        <v>16.259999999999998</v>
      </c>
    </row>
    <row r="31" spans="1:26" ht="28.25" customHeight="1" x14ac:dyDescent="0.4">
      <c r="A31" s="1089"/>
      <c r="B31" s="1090"/>
      <c r="C31" s="1090"/>
      <c r="D31" s="1090"/>
      <c r="E31" s="1090"/>
      <c r="F31" s="1090"/>
      <c r="G31" s="1090"/>
      <c r="H31" s="1090"/>
      <c r="I31" s="1090"/>
      <c r="J31" s="1090"/>
      <c r="K31" s="1090"/>
      <c r="L31" s="794" t="s">
        <v>186</v>
      </c>
      <c r="M31" s="743">
        <f>SUM(J29:J29)</f>
        <v>0</v>
      </c>
      <c r="N31" s="744"/>
      <c r="O31" s="744"/>
      <c r="P31" s="745"/>
      <c r="Q31" s="746"/>
      <c r="R31" s="746"/>
      <c r="S31" s="747"/>
      <c r="T31" s="746"/>
      <c r="U31" s="746"/>
      <c r="V31" s="748">
        <f>SUM(V29:V29)</f>
        <v>0</v>
      </c>
      <c r="W31" s="748">
        <f>SUM(W29:W29)</f>
        <v>0</v>
      </c>
      <c r="X31" s="748">
        <f>SUM(X29:X29)</f>
        <v>0</v>
      </c>
      <c r="Y31" s="849">
        <f>SUM(Y29:Y29)</f>
        <v>0</v>
      </c>
      <c r="Z31" s="573">
        <f t="shared" si="6"/>
        <v>0</v>
      </c>
    </row>
    <row r="32" spans="1:26" ht="28.25" customHeight="1" x14ac:dyDescent="0.4">
      <c r="A32" s="1089"/>
      <c r="B32" s="1090"/>
      <c r="C32" s="1090"/>
      <c r="D32" s="1090"/>
      <c r="E32" s="1090"/>
      <c r="F32" s="1090"/>
      <c r="G32" s="1090"/>
      <c r="H32" s="1090"/>
      <c r="I32" s="1090"/>
      <c r="J32" s="1090"/>
      <c r="K32" s="1090"/>
      <c r="L32" s="794" t="s">
        <v>187</v>
      </c>
      <c r="M32" s="749">
        <v>0</v>
      </c>
      <c r="N32" s="750"/>
      <c r="O32" s="750"/>
      <c r="P32" s="751"/>
      <c r="Q32" s="746"/>
      <c r="R32" s="746"/>
      <c r="S32" s="747"/>
      <c r="T32" s="746"/>
      <c r="U32" s="746"/>
      <c r="V32" s="748"/>
      <c r="W32" s="748"/>
      <c r="X32" s="748"/>
      <c r="Y32" s="849"/>
      <c r="Z32" s="573">
        <f t="shared" si="6"/>
        <v>0</v>
      </c>
    </row>
    <row r="33" spans="1:26" ht="28.25" customHeight="1" thickBot="1" x14ac:dyDescent="0.45">
      <c r="A33" s="1091"/>
      <c r="B33" s="1092"/>
      <c r="C33" s="1092"/>
      <c r="D33" s="1092"/>
      <c r="E33" s="1092"/>
      <c r="F33" s="1092"/>
      <c r="G33" s="1092"/>
      <c r="H33" s="1092"/>
      <c r="I33" s="1092"/>
      <c r="J33" s="1092"/>
      <c r="K33" s="1092"/>
      <c r="L33" s="795" t="s">
        <v>20</v>
      </c>
      <c r="M33" s="752">
        <f>SUM(M30:M32)</f>
        <v>16.259999999999998</v>
      </c>
      <c r="N33" s="753"/>
      <c r="O33" s="753"/>
      <c r="P33" s="754"/>
      <c r="Q33" s="755"/>
      <c r="R33" s="755"/>
      <c r="S33" s="756"/>
      <c r="T33" s="755"/>
      <c r="U33" s="755"/>
      <c r="V33" s="757">
        <f>SUM(V30:V32)</f>
        <v>8</v>
      </c>
      <c r="W33" s="757">
        <f t="shared" ref="W33:Y33" si="7">SUM(W30:W32)</f>
        <v>0</v>
      </c>
      <c r="X33" s="757">
        <f t="shared" si="7"/>
        <v>0</v>
      </c>
      <c r="Y33" s="852">
        <f t="shared" si="7"/>
        <v>8.26</v>
      </c>
      <c r="Z33" s="574">
        <f>SUM(V33:Y33)</f>
        <v>16.259999999999998</v>
      </c>
    </row>
    <row r="34" spans="1:26" ht="20" x14ac:dyDescent="0.4">
      <c r="M34" s="390"/>
    </row>
    <row r="36" spans="1:26" ht="34.25" customHeight="1" x14ac:dyDescent="0.3"/>
    <row r="45" spans="1:26" ht="20" x14ac:dyDescent="0.4">
      <c r="E45" s="381"/>
    </row>
  </sheetData>
  <mergeCells count="37">
    <mergeCell ref="A30:K33"/>
    <mergeCell ref="T5:T8"/>
    <mergeCell ref="V5:V6"/>
    <mergeCell ref="W5:W6"/>
    <mergeCell ref="X5:X6"/>
    <mergeCell ref="H5:H8"/>
    <mergeCell ref="I5:I8"/>
    <mergeCell ref="K5:K8"/>
    <mergeCell ref="S5:S8"/>
    <mergeCell ref="M3:M8"/>
    <mergeCell ref="N3:N8"/>
    <mergeCell ref="O3:O8"/>
    <mergeCell ref="P3:P8"/>
    <mergeCell ref="Q3:Q8"/>
    <mergeCell ref="R3:R8"/>
    <mergeCell ref="V4:Z4"/>
    <mergeCell ref="Y5:Y6"/>
    <mergeCell ref="V7:V8"/>
    <mergeCell ref="W7:W8"/>
    <mergeCell ref="X7:X8"/>
    <mergeCell ref="Y7:Y8"/>
    <mergeCell ref="V3:Z3"/>
    <mergeCell ref="Z5:Z8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</mergeCells>
  <printOptions horizontalCentered="1"/>
  <pageMargins left="0.25" right="0.25" top="0.25" bottom="0.25" header="0.3" footer="0.3"/>
  <pageSetup paperSize="9" scale="4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AK54"/>
  <sheetViews>
    <sheetView zoomScale="60" zoomScaleNormal="60" workbookViewId="0">
      <pane xSplit="10" ySplit="8" topLeftCell="K9" activePane="bottomRight" state="frozen"/>
      <selection pane="topRight" activeCell="K1" sqref="K1"/>
      <selection pane="bottomLeft" activeCell="A8" sqref="A8"/>
      <selection pane="bottomRight" sqref="A1:AK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5" customWidth="1"/>
    <col min="13" max="15" width="12" style="1" customWidth="1"/>
    <col min="16" max="16" width="13" style="1" customWidth="1"/>
    <col min="17" max="18" width="12" style="1" customWidth="1"/>
    <col min="19" max="19" width="14" style="7" customWidth="1"/>
    <col min="20" max="20" width="20.816406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977" t="s">
        <v>152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  <c r="Z1" s="977"/>
      <c r="AA1" s="977"/>
      <c r="AB1" s="977"/>
      <c r="AC1" s="977"/>
      <c r="AD1" s="977"/>
      <c r="AE1" s="977"/>
      <c r="AF1" s="977"/>
      <c r="AG1" s="977"/>
      <c r="AH1" s="977"/>
      <c r="AI1" s="977"/>
      <c r="AJ1" s="977"/>
      <c r="AK1" s="977"/>
    </row>
    <row r="2" spans="1:37" ht="46.25" customHeight="1" thickBot="1" x14ac:dyDescent="0.35">
      <c r="O2" s="101">
        <f>((3.14*2^2)/4)/2</f>
        <v>1.57</v>
      </c>
    </row>
    <row r="3" spans="1:37" ht="34.25" customHeight="1" x14ac:dyDescent="0.3">
      <c r="A3" s="978" t="s">
        <v>33</v>
      </c>
      <c r="B3" s="981" t="s">
        <v>34</v>
      </c>
      <c r="C3" s="984" t="s">
        <v>0</v>
      </c>
      <c r="D3" s="987" t="s">
        <v>150</v>
      </c>
      <c r="E3" s="987" t="s">
        <v>2</v>
      </c>
      <c r="F3" s="987" t="s">
        <v>3</v>
      </c>
      <c r="G3" s="987"/>
      <c r="H3" s="987" t="s">
        <v>147</v>
      </c>
      <c r="I3" s="987"/>
      <c r="J3" s="963" t="s">
        <v>6</v>
      </c>
      <c r="K3" s="992" t="s">
        <v>26</v>
      </c>
      <c r="L3" s="992"/>
      <c r="M3" s="968" t="s">
        <v>27</v>
      </c>
      <c r="N3" s="968" t="s">
        <v>28</v>
      </c>
      <c r="O3" s="971" t="s">
        <v>32</v>
      </c>
      <c r="P3" s="974" t="s">
        <v>139</v>
      </c>
      <c r="Q3" s="932" t="s">
        <v>143</v>
      </c>
      <c r="R3" s="932" t="s">
        <v>148</v>
      </c>
      <c r="S3" s="935" t="s">
        <v>9</v>
      </c>
      <c r="T3" s="935"/>
      <c r="U3" s="954" t="s">
        <v>151</v>
      </c>
      <c r="V3" s="937" t="s">
        <v>149</v>
      </c>
      <c r="W3" s="938"/>
      <c r="X3" s="938"/>
      <c r="Y3" s="938"/>
      <c r="Z3" s="938"/>
      <c r="AA3" s="938"/>
      <c r="AB3" s="938"/>
      <c r="AC3" s="938"/>
      <c r="AD3" s="938"/>
      <c r="AE3" s="938"/>
      <c r="AF3" s="938"/>
      <c r="AG3" s="938"/>
      <c r="AH3" s="938"/>
      <c r="AI3" s="938"/>
      <c r="AJ3" s="938"/>
      <c r="AK3" s="939"/>
    </row>
    <row r="4" spans="1:37" ht="42" customHeight="1" x14ac:dyDescent="0.3">
      <c r="A4" s="979"/>
      <c r="B4" s="982"/>
      <c r="C4" s="985"/>
      <c r="D4" s="988"/>
      <c r="E4" s="988"/>
      <c r="F4" s="988"/>
      <c r="G4" s="988"/>
      <c r="H4" s="988"/>
      <c r="I4" s="988"/>
      <c r="J4" s="964"/>
      <c r="K4" s="993"/>
      <c r="L4" s="993"/>
      <c r="M4" s="969"/>
      <c r="N4" s="969"/>
      <c r="O4" s="972"/>
      <c r="P4" s="975"/>
      <c r="Q4" s="933"/>
      <c r="R4" s="933"/>
      <c r="S4" s="936"/>
      <c r="T4" s="936"/>
      <c r="U4" s="955"/>
      <c r="V4" s="940" t="s">
        <v>21</v>
      </c>
      <c r="W4" s="940"/>
      <c r="X4" s="940"/>
      <c r="Y4" s="940"/>
      <c r="Z4" s="953" t="s">
        <v>22</v>
      </c>
      <c r="AA4" s="953"/>
      <c r="AB4" s="953"/>
      <c r="AC4" s="953"/>
      <c r="AD4" s="953"/>
      <c r="AE4" s="953"/>
      <c r="AF4" s="951" t="s">
        <v>19</v>
      </c>
      <c r="AG4" s="951"/>
      <c r="AH4" s="951"/>
      <c r="AI4" s="951"/>
      <c r="AJ4" s="951"/>
      <c r="AK4" s="952"/>
    </row>
    <row r="5" spans="1:37" ht="30" customHeight="1" x14ac:dyDescent="0.45">
      <c r="A5" s="979"/>
      <c r="B5" s="982"/>
      <c r="C5" s="985"/>
      <c r="D5" s="988"/>
      <c r="E5" s="988"/>
      <c r="F5" s="990" t="s">
        <v>4</v>
      </c>
      <c r="G5" s="990" t="s">
        <v>5</v>
      </c>
      <c r="H5" s="990" t="s">
        <v>4</v>
      </c>
      <c r="I5" s="990" t="s">
        <v>5</v>
      </c>
      <c r="J5" s="964"/>
      <c r="K5" s="966" t="s">
        <v>7</v>
      </c>
      <c r="L5" s="212" t="s">
        <v>14</v>
      </c>
      <c r="M5" s="969"/>
      <c r="N5" s="969"/>
      <c r="O5" s="972"/>
      <c r="P5" s="975"/>
      <c r="Q5" s="933"/>
      <c r="R5" s="933"/>
      <c r="S5" s="941" t="s">
        <v>10</v>
      </c>
      <c r="T5" s="943" t="s">
        <v>11</v>
      </c>
      <c r="U5" s="955"/>
      <c r="V5" s="945">
        <v>2021</v>
      </c>
      <c r="W5" s="946"/>
      <c r="X5" s="945">
        <v>2022</v>
      </c>
      <c r="Y5" s="946"/>
      <c r="Z5" s="913">
        <v>2023</v>
      </c>
      <c r="AA5" s="914"/>
      <c r="AB5" s="913">
        <v>2024</v>
      </c>
      <c r="AC5" s="914"/>
      <c r="AD5" s="913">
        <v>2025</v>
      </c>
      <c r="AE5" s="914"/>
      <c r="AF5" s="913">
        <v>2026</v>
      </c>
      <c r="AG5" s="914"/>
      <c r="AH5" s="913">
        <v>2027</v>
      </c>
      <c r="AI5" s="914"/>
      <c r="AJ5" s="959" t="s">
        <v>11</v>
      </c>
      <c r="AK5" s="960"/>
    </row>
    <row r="6" spans="1:37" ht="30" customHeight="1" x14ac:dyDescent="0.45">
      <c r="A6" s="979"/>
      <c r="B6" s="982"/>
      <c r="C6" s="985"/>
      <c r="D6" s="988"/>
      <c r="E6" s="988"/>
      <c r="F6" s="990"/>
      <c r="G6" s="990"/>
      <c r="H6" s="990"/>
      <c r="I6" s="990"/>
      <c r="J6" s="964"/>
      <c r="K6" s="966"/>
      <c r="L6" s="213" t="s">
        <v>15</v>
      </c>
      <c r="M6" s="969"/>
      <c r="N6" s="969"/>
      <c r="O6" s="972"/>
      <c r="P6" s="975"/>
      <c r="Q6" s="933"/>
      <c r="R6" s="933"/>
      <c r="S6" s="941"/>
      <c r="T6" s="943"/>
      <c r="U6" s="955"/>
      <c r="V6" s="947"/>
      <c r="W6" s="948"/>
      <c r="X6" s="947"/>
      <c r="Y6" s="948"/>
      <c r="Z6" s="915"/>
      <c r="AA6" s="916"/>
      <c r="AB6" s="915"/>
      <c r="AC6" s="916"/>
      <c r="AD6" s="915"/>
      <c r="AE6" s="916"/>
      <c r="AF6" s="915"/>
      <c r="AG6" s="916"/>
      <c r="AH6" s="915"/>
      <c r="AI6" s="916"/>
      <c r="AJ6" s="961"/>
      <c r="AK6" s="962"/>
    </row>
    <row r="7" spans="1:37" ht="30" customHeight="1" x14ac:dyDescent="0.45">
      <c r="A7" s="979"/>
      <c r="B7" s="982"/>
      <c r="C7" s="985"/>
      <c r="D7" s="988"/>
      <c r="E7" s="988"/>
      <c r="F7" s="990"/>
      <c r="G7" s="990"/>
      <c r="H7" s="990"/>
      <c r="I7" s="990"/>
      <c r="J7" s="964"/>
      <c r="K7" s="966"/>
      <c r="L7" s="214" t="s">
        <v>16</v>
      </c>
      <c r="M7" s="969"/>
      <c r="N7" s="969"/>
      <c r="O7" s="972"/>
      <c r="P7" s="975"/>
      <c r="Q7" s="933"/>
      <c r="R7" s="933"/>
      <c r="S7" s="941"/>
      <c r="T7" s="943"/>
      <c r="U7" s="955"/>
      <c r="V7" s="957" t="s">
        <v>12</v>
      </c>
      <c r="W7" s="957" t="s">
        <v>13</v>
      </c>
      <c r="X7" s="957" t="s">
        <v>12</v>
      </c>
      <c r="Y7" s="957" t="s">
        <v>13</v>
      </c>
      <c r="Z7" s="917" t="s">
        <v>12</v>
      </c>
      <c r="AA7" s="917" t="s">
        <v>13</v>
      </c>
      <c r="AB7" s="917" t="s">
        <v>12</v>
      </c>
      <c r="AC7" s="917" t="s">
        <v>13</v>
      </c>
      <c r="AD7" s="917" t="s">
        <v>12</v>
      </c>
      <c r="AE7" s="919" t="s">
        <v>13</v>
      </c>
      <c r="AF7" s="917" t="s">
        <v>12</v>
      </c>
      <c r="AG7" s="919" t="s">
        <v>13</v>
      </c>
      <c r="AH7" s="917" t="s">
        <v>12</v>
      </c>
      <c r="AI7" s="919" t="s">
        <v>13</v>
      </c>
      <c r="AJ7" s="921" t="s">
        <v>12</v>
      </c>
      <c r="AK7" s="949" t="s">
        <v>13</v>
      </c>
    </row>
    <row r="8" spans="1:37" ht="30" customHeight="1" thickBot="1" x14ac:dyDescent="0.5">
      <c r="A8" s="980"/>
      <c r="B8" s="983"/>
      <c r="C8" s="986"/>
      <c r="D8" s="989"/>
      <c r="E8" s="989"/>
      <c r="F8" s="991"/>
      <c r="G8" s="991"/>
      <c r="H8" s="991"/>
      <c r="I8" s="991"/>
      <c r="J8" s="965"/>
      <c r="K8" s="967"/>
      <c r="L8" s="215"/>
      <c r="M8" s="970"/>
      <c r="N8" s="970"/>
      <c r="O8" s="973"/>
      <c r="P8" s="976"/>
      <c r="Q8" s="934"/>
      <c r="R8" s="934"/>
      <c r="S8" s="942"/>
      <c r="T8" s="944"/>
      <c r="U8" s="956"/>
      <c r="V8" s="958"/>
      <c r="W8" s="958"/>
      <c r="X8" s="958"/>
      <c r="Y8" s="958"/>
      <c r="Z8" s="918"/>
      <c r="AA8" s="918"/>
      <c r="AB8" s="918"/>
      <c r="AC8" s="918"/>
      <c r="AD8" s="918"/>
      <c r="AE8" s="920"/>
      <c r="AF8" s="918"/>
      <c r="AG8" s="920"/>
      <c r="AH8" s="918"/>
      <c r="AI8" s="920"/>
      <c r="AJ8" s="922"/>
      <c r="AK8" s="950"/>
    </row>
    <row r="9" spans="1:37" ht="46.25" customHeight="1" thickBot="1" x14ac:dyDescent="0.3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225">
        <f>(M9/N9)*O9</f>
        <v>1765.3022697512006</v>
      </c>
      <c r="Q9" s="226"/>
      <c r="R9" s="227"/>
      <c r="S9" s="228">
        <v>5000</v>
      </c>
      <c r="T9" s="221"/>
      <c r="U9" s="229"/>
      <c r="V9" s="220"/>
      <c r="W9" s="230"/>
      <c r="X9" s="220"/>
      <c r="Y9" s="230"/>
      <c r="Z9" s="231">
        <f>5000*AA9</f>
        <v>35000</v>
      </c>
      <c r="AA9" s="232">
        <f t="shared" ref="AA9:AA25" si="0">J9</f>
        <v>7</v>
      </c>
      <c r="AB9" s="231">
        <f>5000*AC9</f>
        <v>35000</v>
      </c>
      <c r="AC9" s="232">
        <f>AA9</f>
        <v>7</v>
      </c>
      <c r="AD9" s="231">
        <f>5000*AE9</f>
        <v>35000</v>
      </c>
      <c r="AE9" s="233">
        <f>AC9</f>
        <v>7</v>
      </c>
      <c r="AF9" s="231">
        <f>5000*AG9</f>
        <v>35000</v>
      </c>
      <c r="AG9" s="233">
        <f>AE9</f>
        <v>7</v>
      </c>
      <c r="AH9" s="231">
        <f>5000*AI9</f>
        <v>35000</v>
      </c>
      <c r="AI9" s="236">
        <f>AG9</f>
        <v>7</v>
      </c>
      <c r="AJ9" s="237"/>
      <c r="AK9" s="238"/>
    </row>
    <row r="10" spans="1:37" ht="46.25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1">(J10*2)+$O$2</f>
        <v>14.57</v>
      </c>
      <c r="P10" s="135">
        <f t="shared" ref="P10:P25" si="2">(M10/N10)*O10</f>
        <v>1565.218280321566</v>
      </c>
      <c r="Q10" s="148"/>
      <c r="R10" s="149"/>
      <c r="S10" s="136">
        <v>5000</v>
      </c>
      <c r="T10" s="142"/>
      <c r="U10" s="137"/>
      <c r="V10" s="145"/>
      <c r="W10" s="217"/>
      <c r="X10" s="145"/>
      <c r="Y10" s="217"/>
      <c r="Z10" s="138">
        <f t="shared" ref="Z10:Z25" si="3">5000*AA10</f>
        <v>32500</v>
      </c>
      <c r="AA10" s="150">
        <f t="shared" si="0"/>
        <v>6.5</v>
      </c>
      <c r="AB10" s="138">
        <f t="shared" ref="AB10:AB25" si="4">5000*AC10</f>
        <v>32500</v>
      </c>
      <c r="AC10" s="150">
        <f t="shared" ref="AC10:AC25" si="5">AA10</f>
        <v>6.5</v>
      </c>
      <c r="AD10" s="138">
        <f t="shared" ref="AD10:AD25" si="6">5000*AE10</f>
        <v>32500</v>
      </c>
      <c r="AE10" s="151">
        <f t="shared" ref="AE10:AE25" si="7">AC10</f>
        <v>6.5</v>
      </c>
      <c r="AF10" s="231">
        <f t="shared" ref="AF10:AF25" si="8">5000*AG10</f>
        <v>32500</v>
      </c>
      <c r="AG10" s="151">
        <f t="shared" ref="AG10:AG25" si="9">AE10</f>
        <v>6.5</v>
      </c>
      <c r="AH10" s="138">
        <f t="shared" ref="AH10:AH25" si="10">5000*AI10</f>
        <v>32500</v>
      </c>
      <c r="AI10" s="153">
        <f t="shared" ref="AI10:AI25" si="11">AG10</f>
        <v>6.5</v>
      </c>
      <c r="AJ10" s="154"/>
      <c r="AK10" s="239"/>
    </row>
    <row r="11" spans="1:37" ht="46.25" customHeight="1" thickBot="1" x14ac:dyDescent="0.3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1"/>
        <v>22.57</v>
      </c>
      <c r="P11" s="135">
        <f t="shared" si="2"/>
        <v>577.24744716219425</v>
      </c>
      <c r="Q11" s="148"/>
      <c r="R11" s="149"/>
      <c r="S11" s="136">
        <v>5000</v>
      </c>
      <c r="T11" s="142"/>
      <c r="U11" s="137"/>
      <c r="V11" s="145"/>
      <c r="W11" s="217"/>
      <c r="X11" s="145"/>
      <c r="Y11" s="217"/>
      <c r="Z11" s="138">
        <f t="shared" si="3"/>
        <v>52500</v>
      </c>
      <c r="AA11" s="150">
        <f t="shared" si="0"/>
        <v>10.5</v>
      </c>
      <c r="AB11" s="138">
        <f t="shared" si="4"/>
        <v>52500</v>
      </c>
      <c r="AC11" s="150">
        <f t="shared" si="5"/>
        <v>10.5</v>
      </c>
      <c r="AD11" s="138">
        <f t="shared" si="6"/>
        <v>52500</v>
      </c>
      <c r="AE11" s="151">
        <f t="shared" si="7"/>
        <v>10.5</v>
      </c>
      <c r="AF11" s="231">
        <f t="shared" si="8"/>
        <v>52500</v>
      </c>
      <c r="AG11" s="151">
        <f t="shared" si="9"/>
        <v>10.5</v>
      </c>
      <c r="AH11" s="138">
        <f t="shared" si="10"/>
        <v>52500</v>
      </c>
      <c r="AI11" s="153">
        <f t="shared" si="11"/>
        <v>10.5</v>
      </c>
      <c r="AJ11" s="154"/>
      <c r="AK11" s="239"/>
    </row>
    <row r="12" spans="1:37" ht="46.25" customHeight="1" thickBot="1" x14ac:dyDescent="0.3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1"/>
        <v>6.57</v>
      </c>
      <c r="P12" s="135">
        <f t="shared" si="2"/>
        <v>880.36796109662419</v>
      </c>
      <c r="Q12" s="148"/>
      <c r="R12" s="149"/>
      <c r="S12" s="136">
        <v>5000</v>
      </c>
      <c r="T12" s="142"/>
      <c r="U12" s="137"/>
      <c r="V12" s="145"/>
      <c r="W12" s="217"/>
      <c r="X12" s="145"/>
      <c r="Y12" s="217"/>
      <c r="Z12" s="138">
        <f t="shared" si="3"/>
        <v>12500</v>
      </c>
      <c r="AA12" s="150">
        <f t="shared" si="0"/>
        <v>2.5</v>
      </c>
      <c r="AB12" s="138">
        <f t="shared" si="4"/>
        <v>12500</v>
      </c>
      <c r="AC12" s="150">
        <f t="shared" si="5"/>
        <v>2.5</v>
      </c>
      <c r="AD12" s="138">
        <f t="shared" si="6"/>
        <v>12500</v>
      </c>
      <c r="AE12" s="151">
        <f t="shared" si="7"/>
        <v>2.5</v>
      </c>
      <c r="AF12" s="231">
        <f t="shared" si="8"/>
        <v>12500</v>
      </c>
      <c r="AG12" s="151">
        <f t="shared" si="9"/>
        <v>2.5</v>
      </c>
      <c r="AH12" s="138">
        <f t="shared" si="10"/>
        <v>12500</v>
      </c>
      <c r="AI12" s="153">
        <f t="shared" si="11"/>
        <v>2.5</v>
      </c>
      <c r="AJ12" s="154"/>
      <c r="AK12" s="239"/>
    </row>
    <row r="13" spans="1:37" ht="46.25" customHeight="1" thickBot="1" x14ac:dyDescent="0.35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1"/>
        <v>3.5700000000000003</v>
      </c>
      <c r="P13" s="135">
        <f t="shared" si="2"/>
        <v>478.37345831277759</v>
      </c>
      <c r="Q13" s="148"/>
      <c r="R13" s="149"/>
      <c r="S13" s="136">
        <v>5000</v>
      </c>
      <c r="T13" s="142"/>
      <c r="U13" s="137"/>
      <c r="V13" s="145"/>
      <c r="W13" s="217"/>
      <c r="X13" s="145"/>
      <c r="Y13" s="217"/>
      <c r="Z13" s="138">
        <f t="shared" si="3"/>
        <v>5000</v>
      </c>
      <c r="AA13" s="150">
        <f t="shared" si="0"/>
        <v>1</v>
      </c>
      <c r="AB13" s="138">
        <f t="shared" si="4"/>
        <v>5000</v>
      </c>
      <c r="AC13" s="150">
        <f t="shared" si="5"/>
        <v>1</v>
      </c>
      <c r="AD13" s="138">
        <f t="shared" si="6"/>
        <v>5000</v>
      </c>
      <c r="AE13" s="151">
        <f t="shared" si="7"/>
        <v>1</v>
      </c>
      <c r="AF13" s="231">
        <f t="shared" si="8"/>
        <v>5000</v>
      </c>
      <c r="AG13" s="151">
        <f t="shared" si="9"/>
        <v>1</v>
      </c>
      <c r="AH13" s="138">
        <f t="shared" si="10"/>
        <v>5000</v>
      </c>
      <c r="AI13" s="153">
        <f t="shared" si="11"/>
        <v>1</v>
      </c>
      <c r="AJ13" s="154"/>
      <c r="AK13" s="239"/>
    </row>
    <row r="14" spans="1:37" ht="46.25" customHeight="1" thickBot="1" x14ac:dyDescent="0.3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1"/>
        <v>15.57</v>
      </c>
      <c r="P14" s="135">
        <f t="shared" si="2"/>
        <v>1609.8889809444904</v>
      </c>
      <c r="Q14" s="148"/>
      <c r="R14" s="149"/>
      <c r="S14" s="136">
        <v>5000</v>
      </c>
      <c r="T14" s="142"/>
      <c r="U14" s="137"/>
      <c r="V14" s="145"/>
      <c r="W14" s="217"/>
      <c r="X14" s="145"/>
      <c r="Y14" s="217"/>
      <c r="Z14" s="138">
        <f t="shared" si="3"/>
        <v>35000</v>
      </c>
      <c r="AA14" s="150">
        <f t="shared" si="0"/>
        <v>7</v>
      </c>
      <c r="AB14" s="138">
        <f t="shared" si="4"/>
        <v>35000</v>
      </c>
      <c r="AC14" s="150">
        <f t="shared" si="5"/>
        <v>7</v>
      </c>
      <c r="AD14" s="138">
        <f t="shared" si="6"/>
        <v>35000</v>
      </c>
      <c r="AE14" s="151">
        <f t="shared" si="7"/>
        <v>7</v>
      </c>
      <c r="AF14" s="231">
        <f t="shared" si="8"/>
        <v>35000</v>
      </c>
      <c r="AG14" s="151">
        <f t="shared" si="9"/>
        <v>7</v>
      </c>
      <c r="AH14" s="138">
        <f t="shared" si="10"/>
        <v>35000</v>
      </c>
      <c r="AI14" s="153">
        <f t="shared" si="11"/>
        <v>7</v>
      </c>
      <c r="AJ14" s="154"/>
      <c r="AK14" s="239"/>
    </row>
    <row r="15" spans="1:37" ht="46.25" customHeight="1" thickBot="1" x14ac:dyDescent="0.35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44"/>
      <c r="G15" s="144"/>
      <c r="H15" s="144"/>
      <c r="I15" s="144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1"/>
        <v>6.87</v>
      </c>
      <c r="P15" s="135">
        <f t="shared" si="2"/>
        <v>560.80988825960503</v>
      </c>
      <c r="Q15" s="148"/>
      <c r="R15" s="149"/>
      <c r="S15" s="136">
        <v>5000</v>
      </c>
      <c r="T15" s="142"/>
      <c r="U15" s="137"/>
      <c r="V15" s="145"/>
      <c r="W15" s="217"/>
      <c r="X15" s="145"/>
      <c r="Y15" s="217"/>
      <c r="Z15" s="138">
        <f t="shared" si="3"/>
        <v>13250</v>
      </c>
      <c r="AA15" s="150">
        <f t="shared" si="0"/>
        <v>2.65</v>
      </c>
      <c r="AB15" s="138">
        <f t="shared" si="4"/>
        <v>13250</v>
      </c>
      <c r="AC15" s="150">
        <f t="shared" si="5"/>
        <v>2.65</v>
      </c>
      <c r="AD15" s="138">
        <f t="shared" si="6"/>
        <v>13250</v>
      </c>
      <c r="AE15" s="151">
        <f t="shared" si="7"/>
        <v>2.65</v>
      </c>
      <c r="AF15" s="231">
        <f t="shared" si="8"/>
        <v>13250</v>
      </c>
      <c r="AG15" s="151">
        <f t="shared" si="9"/>
        <v>2.65</v>
      </c>
      <c r="AH15" s="138">
        <f t="shared" si="10"/>
        <v>13250</v>
      </c>
      <c r="AI15" s="153">
        <f t="shared" si="11"/>
        <v>2.65</v>
      </c>
      <c r="AJ15" s="154"/>
      <c r="AK15" s="239"/>
    </row>
    <row r="16" spans="1:37" ht="46.25" customHeight="1" thickBot="1" x14ac:dyDescent="0.35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1"/>
        <v>6.9700000000000006</v>
      </c>
      <c r="P16" s="135">
        <f t="shared" si="2"/>
        <v>199.74167832167834</v>
      </c>
      <c r="Q16" s="148"/>
      <c r="R16" s="149"/>
      <c r="S16" s="136">
        <v>5000</v>
      </c>
      <c r="T16" s="157"/>
      <c r="U16" s="137"/>
      <c r="V16" s="145"/>
      <c r="W16" s="217"/>
      <c r="X16" s="145"/>
      <c r="Y16" s="217"/>
      <c r="Z16" s="138">
        <f t="shared" si="3"/>
        <v>13500</v>
      </c>
      <c r="AA16" s="150">
        <f t="shared" si="0"/>
        <v>2.7</v>
      </c>
      <c r="AB16" s="138">
        <f t="shared" si="4"/>
        <v>13500</v>
      </c>
      <c r="AC16" s="150">
        <f t="shared" si="5"/>
        <v>2.7</v>
      </c>
      <c r="AD16" s="138">
        <f t="shared" si="6"/>
        <v>13500</v>
      </c>
      <c r="AE16" s="151">
        <f t="shared" si="7"/>
        <v>2.7</v>
      </c>
      <c r="AF16" s="231">
        <f t="shared" si="8"/>
        <v>13500</v>
      </c>
      <c r="AG16" s="151">
        <f t="shared" si="9"/>
        <v>2.7</v>
      </c>
      <c r="AH16" s="138">
        <f t="shared" si="10"/>
        <v>13500</v>
      </c>
      <c r="AI16" s="153">
        <f t="shared" si="11"/>
        <v>2.7</v>
      </c>
      <c r="AJ16" s="154"/>
      <c r="AK16" s="239"/>
    </row>
    <row r="17" spans="1:37" ht="46.25" customHeight="1" thickBot="1" x14ac:dyDescent="0.3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1"/>
        <v>6.9700000000000006</v>
      </c>
      <c r="P17" s="135">
        <f t="shared" si="2"/>
        <v>239.7788693957115</v>
      </c>
      <c r="Q17" s="148"/>
      <c r="R17" s="149"/>
      <c r="S17" s="136">
        <v>5000</v>
      </c>
      <c r="T17" s="157"/>
      <c r="U17" s="137"/>
      <c r="V17" s="145"/>
      <c r="W17" s="217"/>
      <c r="X17" s="145"/>
      <c r="Y17" s="217"/>
      <c r="Z17" s="138">
        <f t="shared" si="3"/>
        <v>13500</v>
      </c>
      <c r="AA17" s="150">
        <f t="shared" si="0"/>
        <v>2.7</v>
      </c>
      <c r="AB17" s="138">
        <f t="shared" si="4"/>
        <v>13500</v>
      </c>
      <c r="AC17" s="150">
        <f t="shared" si="5"/>
        <v>2.7</v>
      </c>
      <c r="AD17" s="138">
        <f t="shared" si="6"/>
        <v>13500</v>
      </c>
      <c r="AE17" s="151">
        <f t="shared" si="7"/>
        <v>2.7</v>
      </c>
      <c r="AF17" s="231">
        <f t="shared" si="8"/>
        <v>13500</v>
      </c>
      <c r="AG17" s="151">
        <f t="shared" si="9"/>
        <v>2.7</v>
      </c>
      <c r="AH17" s="138">
        <f t="shared" si="10"/>
        <v>13500</v>
      </c>
      <c r="AI17" s="153">
        <f t="shared" si="11"/>
        <v>2.7</v>
      </c>
      <c r="AJ17" s="154"/>
      <c r="AK17" s="239"/>
    </row>
    <row r="18" spans="1:37" ht="46.25" customHeight="1" thickBot="1" x14ac:dyDescent="0.35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1"/>
        <v>6.17</v>
      </c>
      <c r="P18" s="135">
        <f t="shared" si="2"/>
        <v>212.25762183235867</v>
      </c>
      <c r="Q18" s="148"/>
      <c r="R18" s="149"/>
      <c r="S18" s="136">
        <v>5000</v>
      </c>
      <c r="T18" s="142"/>
      <c r="U18" s="137"/>
      <c r="V18" s="145"/>
      <c r="W18" s="217"/>
      <c r="X18" s="145"/>
      <c r="Y18" s="217"/>
      <c r="Z18" s="138">
        <f t="shared" si="3"/>
        <v>11500</v>
      </c>
      <c r="AA18" s="150">
        <f t="shared" si="0"/>
        <v>2.2999999999999998</v>
      </c>
      <c r="AB18" s="138">
        <f t="shared" si="4"/>
        <v>11500</v>
      </c>
      <c r="AC18" s="150">
        <f t="shared" si="5"/>
        <v>2.2999999999999998</v>
      </c>
      <c r="AD18" s="138">
        <f t="shared" si="6"/>
        <v>11500</v>
      </c>
      <c r="AE18" s="151">
        <f t="shared" si="7"/>
        <v>2.2999999999999998</v>
      </c>
      <c r="AF18" s="231">
        <f t="shared" si="8"/>
        <v>11500</v>
      </c>
      <c r="AG18" s="151">
        <f t="shared" si="9"/>
        <v>2.2999999999999998</v>
      </c>
      <c r="AH18" s="138">
        <f t="shared" si="10"/>
        <v>11500</v>
      </c>
      <c r="AI18" s="153">
        <f t="shared" si="11"/>
        <v>2.2999999999999998</v>
      </c>
      <c r="AJ18" s="154"/>
      <c r="AK18" s="239"/>
    </row>
    <row r="19" spans="1:37" ht="46.25" customHeight="1" thickBot="1" x14ac:dyDescent="0.35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1"/>
        <v>5.57</v>
      </c>
      <c r="P19" s="135">
        <f t="shared" si="2"/>
        <v>159.6213986013986</v>
      </c>
      <c r="Q19" s="148"/>
      <c r="R19" s="149"/>
      <c r="S19" s="136">
        <v>5000</v>
      </c>
      <c r="T19" s="142"/>
      <c r="U19" s="137"/>
      <c r="V19" s="145"/>
      <c r="W19" s="217"/>
      <c r="X19" s="145"/>
      <c r="Y19" s="217"/>
      <c r="Z19" s="138">
        <f t="shared" si="3"/>
        <v>10000</v>
      </c>
      <c r="AA19" s="150">
        <f t="shared" si="0"/>
        <v>2</v>
      </c>
      <c r="AB19" s="138">
        <f t="shared" si="4"/>
        <v>10000</v>
      </c>
      <c r="AC19" s="150">
        <f t="shared" si="5"/>
        <v>2</v>
      </c>
      <c r="AD19" s="138">
        <f t="shared" si="6"/>
        <v>10000</v>
      </c>
      <c r="AE19" s="151">
        <f t="shared" si="7"/>
        <v>2</v>
      </c>
      <c r="AF19" s="231">
        <f t="shared" si="8"/>
        <v>10000</v>
      </c>
      <c r="AG19" s="151">
        <f t="shared" si="9"/>
        <v>2</v>
      </c>
      <c r="AH19" s="138">
        <f t="shared" si="10"/>
        <v>10000</v>
      </c>
      <c r="AI19" s="153">
        <f t="shared" si="11"/>
        <v>2</v>
      </c>
      <c r="AJ19" s="154"/>
      <c r="AK19" s="239"/>
    </row>
    <row r="20" spans="1:37" ht="46.25" customHeight="1" thickBot="1" x14ac:dyDescent="0.3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44"/>
      <c r="G20" s="162"/>
      <c r="H20" s="162"/>
      <c r="I20" s="162"/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1"/>
        <v>6.9700000000000006</v>
      </c>
      <c r="P20" s="135">
        <f t="shared" si="2"/>
        <v>660.22281105990794</v>
      </c>
      <c r="Q20" s="148"/>
      <c r="R20" s="149"/>
      <c r="S20" s="136">
        <v>5000</v>
      </c>
      <c r="T20" s="142"/>
      <c r="U20" s="165"/>
      <c r="V20" s="148"/>
      <c r="W20" s="165"/>
      <c r="X20" s="148"/>
      <c r="Y20" s="182"/>
      <c r="Z20" s="138">
        <f t="shared" si="3"/>
        <v>13500</v>
      </c>
      <c r="AA20" s="150">
        <f t="shared" si="0"/>
        <v>2.7</v>
      </c>
      <c r="AB20" s="138">
        <f t="shared" si="4"/>
        <v>13500</v>
      </c>
      <c r="AC20" s="150">
        <f t="shared" si="5"/>
        <v>2.7</v>
      </c>
      <c r="AD20" s="138">
        <f t="shared" si="6"/>
        <v>13500</v>
      </c>
      <c r="AE20" s="151">
        <f t="shared" si="7"/>
        <v>2.7</v>
      </c>
      <c r="AF20" s="231">
        <f t="shared" si="8"/>
        <v>13500</v>
      </c>
      <c r="AG20" s="151">
        <f t="shared" si="9"/>
        <v>2.7</v>
      </c>
      <c r="AH20" s="138">
        <f t="shared" si="10"/>
        <v>13500</v>
      </c>
      <c r="AI20" s="153">
        <f t="shared" si="11"/>
        <v>2.7</v>
      </c>
      <c r="AJ20" s="154"/>
      <c r="AK20" s="239"/>
    </row>
    <row r="21" spans="1:37" ht="46.25" customHeight="1" thickBot="1" x14ac:dyDescent="0.35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1"/>
        <v>4.97</v>
      </c>
      <c r="P21" s="135">
        <f t="shared" si="2"/>
        <v>170.97575048732941</v>
      </c>
      <c r="Q21" s="148"/>
      <c r="R21" s="149"/>
      <c r="S21" s="136">
        <v>5000</v>
      </c>
      <c r="T21" s="142"/>
      <c r="U21" s="165"/>
      <c r="V21" s="148"/>
      <c r="W21" s="165"/>
      <c r="X21" s="148"/>
      <c r="Y21" s="182"/>
      <c r="Z21" s="138">
        <f t="shared" si="3"/>
        <v>8500</v>
      </c>
      <c r="AA21" s="150">
        <f t="shared" si="0"/>
        <v>1.7</v>
      </c>
      <c r="AB21" s="138">
        <f t="shared" si="4"/>
        <v>8500</v>
      </c>
      <c r="AC21" s="150">
        <f t="shared" si="5"/>
        <v>1.7</v>
      </c>
      <c r="AD21" s="138">
        <f t="shared" si="6"/>
        <v>8500</v>
      </c>
      <c r="AE21" s="151">
        <f t="shared" si="7"/>
        <v>1.7</v>
      </c>
      <c r="AF21" s="231">
        <f t="shared" si="8"/>
        <v>8500</v>
      </c>
      <c r="AG21" s="151">
        <f t="shared" si="9"/>
        <v>1.7</v>
      </c>
      <c r="AH21" s="138">
        <f t="shared" si="10"/>
        <v>8500</v>
      </c>
      <c r="AI21" s="153">
        <f t="shared" si="11"/>
        <v>1.7</v>
      </c>
      <c r="AJ21" s="154"/>
      <c r="AK21" s="239"/>
    </row>
    <row r="22" spans="1:37" ht="46.25" customHeight="1" thickBot="1" x14ac:dyDescent="0.35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1"/>
        <v>5.57</v>
      </c>
      <c r="P22" s="135">
        <f t="shared" si="2"/>
        <v>191.61668615984405</v>
      </c>
      <c r="Q22" s="148"/>
      <c r="R22" s="149"/>
      <c r="S22" s="136">
        <v>5000</v>
      </c>
      <c r="T22" s="142"/>
      <c r="U22" s="165"/>
      <c r="V22" s="148"/>
      <c r="W22" s="165"/>
      <c r="X22" s="148"/>
      <c r="Y22" s="182"/>
      <c r="Z22" s="138">
        <f t="shared" si="3"/>
        <v>10000</v>
      </c>
      <c r="AA22" s="150">
        <f t="shared" si="0"/>
        <v>2</v>
      </c>
      <c r="AB22" s="138">
        <f t="shared" si="4"/>
        <v>10000</v>
      </c>
      <c r="AC22" s="150">
        <f t="shared" si="5"/>
        <v>2</v>
      </c>
      <c r="AD22" s="138">
        <f t="shared" si="6"/>
        <v>10000</v>
      </c>
      <c r="AE22" s="151">
        <f t="shared" si="7"/>
        <v>2</v>
      </c>
      <c r="AF22" s="231">
        <f t="shared" si="8"/>
        <v>10000</v>
      </c>
      <c r="AG22" s="151">
        <f t="shared" si="9"/>
        <v>2</v>
      </c>
      <c r="AH22" s="138">
        <f t="shared" si="10"/>
        <v>10000</v>
      </c>
      <c r="AI22" s="153">
        <f t="shared" si="11"/>
        <v>2</v>
      </c>
      <c r="AJ22" s="154"/>
      <c r="AK22" s="239"/>
    </row>
    <row r="23" spans="1:37" ht="46.25" customHeight="1" thickBot="1" x14ac:dyDescent="0.3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1"/>
        <v>5.57</v>
      </c>
      <c r="P23" s="135">
        <f t="shared" si="2"/>
        <v>159.6213986013986</v>
      </c>
      <c r="Q23" s="148"/>
      <c r="R23" s="149"/>
      <c r="S23" s="136">
        <v>5000</v>
      </c>
      <c r="T23" s="142"/>
      <c r="U23" s="165"/>
      <c r="V23" s="148"/>
      <c r="W23" s="165"/>
      <c r="X23" s="148"/>
      <c r="Y23" s="182"/>
      <c r="Z23" s="138">
        <f t="shared" si="3"/>
        <v>10000</v>
      </c>
      <c r="AA23" s="150">
        <f t="shared" si="0"/>
        <v>2</v>
      </c>
      <c r="AB23" s="138">
        <f t="shared" si="4"/>
        <v>10000</v>
      </c>
      <c r="AC23" s="150">
        <f t="shared" si="5"/>
        <v>2</v>
      </c>
      <c r="AD23" s="138">
        <f t="shared" si="6"/>
        <v>10000</v>
      </c>
      <c r="AE23" s="151">
        <f t="shared" si="7"/>
        <v>2</v>
      </c>
      <c r="AF23" s="231">
        <f t="shared" si="8"/>
        <v>10000</v>
      </c>
      <c r="AG23" s="151">
        <f t="shared" si="9"/>
        <v>2</v>
      </c>
      <c r="AH23" s="138">
        <f t="shared" si="10"/>
        <v>10000</v>
      </c>
      <c r="AI23" s="153">
        <f t="shared" si="11"/>
        <v>2</v>
      </c>
      <c r="AJ23" s="154"/>
      <c r="AK23" s="239"/>
    </row>
    <row r="24" spans="1:37" ht="46.25" customHeight="1" thickBot="1" x14ac:dyDescent="0.35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1"/>
        <v>5.57</v>
      </c>
      <c r="P24" s="135">
        <f t="shared" si="2"/>
        <v>159.6213986013986</v>
      </c>
      <c r="Q24" s="148"/>
      <c r="R24" s="149"/>
      <c r="S24" s="136">
        <v>5000</v>
      </c>
      <c r="T24" s="142"/>
      <c r="U24" s="165"/>
      <c r="V24" s="148"/>
      <c r="W24" s="165"/>
      <c r="X24" s="148"/>
      <c r="Y24" s="182"/>
      <c r="Z24" s="138">
        <f t="shared" si="3"/>
        <v>10000</v>
      </c>
      <c r="AA24" s="150">
        <f t="shared" si="0"/>
        <v>2</v>
      </c>
      <c r="AB24" s="138">
        <f t="shared" si="4"/>
        <v>10000</v>
      </c>
      <c r="AC24" s="150">
        <f t="shared" si="5"/>
        <v>2</v>
      </c>
      <c r="AD24" s="138">
        <f t="shared" si="6"/>
        <v>10000</v>
      </c>
      <c r="AE24" s="151">
        <f t="shared" si="7"/>
        <v>2</v>
      </c>
      <c r="AF24" s="231">
        <f t="shared" si="8"/>
        <v>10000</v>
      </c>
      <c r="AG24" s="151">
        <f t="shared" si="9"/>
        <v>2</v>
      </c>
      <c r="AH24" s="138">
        <f t="shared" si="10"/>
        <v>10000</v>
      </c>
      <c r="AI24" s="153">
        <f t="shared" si="11"/>
        <v>2</v>
      </c>
      <c r="AJ24" s="154"/>
      <c r="AK24" s="239"/>
    </row>
    <row r="25" spans="1:37" ht="46.25" customHeight="1" x14ac:dyDescent="0.3">
      <c r="A25" s="140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1"/>
        <v>6.9700000000000006</v>
      </c>
      <c r="P25" s="135">
        <f t="shared" si="2"/>
        <v>199.74167832167834</v>
      </c>
      <c r="Q25" s="148"/>
      <c r="R25" s="149"/>
      <c r="S25" s="136">
        <v>5000</v>
      </c>
      <c r="T25" s="142"/>
      <c r="U25" s="165"/>
      <c r="V25" s="148"/>
      <c r="W25" s="165"/>
      <c r="X25" s="148"/>
      <c r="Y25" s="182"/>
      <c r="Z25" s="138">
        <f t="shared" si="3"/>
        <v>13500</v>
      </c>
      <c r="AA25" s="150">
        <f t="shared" si="0"/>
        <v>2.7</v>
      </c>
      <c r="AB25" s="138">
        <f t="shared" si="4"/>
        <v>13500</v>
      </c>
      <c r="AC25" s="150">
        <f t="shared" si="5"/>
        <v>2.7</v>
      </c>
      <c r="AD25" s="138">
        <f t="shared" si="6"/>
        <v>13500</v>
      </c>
      <c r="AE25" s="151">
        <f t="shared" si="7"/>
        <v>2.7</v>
      </c>
      <c r="AF25" s="231">
        <f t="shared" si="8"/>
        <v>13500</v>
      </c>
      <c r="AG25" s="151">
        <f t="shared" si="9"/>
        <v>2.7</v>
      </c>
      <c r="AH25" s="138">
        <f t="shared" si="10"/>
        <v>13500</v>
      </c>
      <c r="AI25" s="153">
        <f t="shared" si="11"/>
        <v>2.7</v>
      </c>
      <c r="AJ25" s="154"/>
      <c r="AK25" s="239"/>
    </row>
    <row r="26" spans="1:37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172"/>
      <c r="Q26" s="173"/>
      <c r="R26" s="174"/>
      <c r="S26" s="175"/>
      <c r="T26" s="168"/>
      <c r="U26" s="168"/>
      <c r="V26" s="169"/>
      <c r="W26" s="168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71"/>
      <c r="AJ26" s="176"/>
      <c r="AK26" s="240"/>
    </row>
    <row r="27" spans="1:37" ht="48.65" customHeight="1" x14ac:dyDescent="0.3">
      <c r="A27" s="155">
        <v>1</v>
      </c>
      <c r="B27" s="141" t="s">
        <v>35</v>
      </c>
      <c r="C27" s="142" t="s">
        <v>43</v>
      </c>
      <c r="D27" s="142" t="s">
        <v>120</v>
      </c>
      <c r="E27" s="177" t="s">
        <v>129</v>
      </c>
      <c r="F27" s="178">
        <v>126.799249</v>
      </c>
      <c r="G27" s="178">
        <v>-8.5845210000000005</v>
      </c>
      <c r="H27" s="178">
        <v>126.84336500000001</v>
      </c>
      <c r="I27" s="178">
        <v>-8.5632079999999995</v>
      </c>
      <c r="J27" s="145">
        <v>8</v>
      </c>
      <c r="K27" s="179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48" si="12">(J27*2)+$O$2</f>
        <v>17.57</v>
      </c>
      <c r="P27" s="135">
        <f t="shared" ref="P27:P48" si="13">(M27/N27)*O27</f>
        <v>1978.6722306525041</v>
      </c>
      <c r="Q27" s="180">
        <f>(P27*R27)/S27</f>
        <v>0.19187124660872767</v>
      </c>
      <c r="R27" s="149">
        <v>20</v>
      </c>
      <c r="S27" s="149">
        <v>206250</v>
      </c>
      <c r="T27" s="378">
        <f>Z27+AB27+AD27+AF27+AH27</f>
        <v>1650000</v>
      </c>
      <c r="U27" s="181">
        <v>1</v>
      </c>
      <c r="V27" s="148"/>
      <c r="W27" s="182"/>
      <c r="X27" s="145"/>
      <c r="Y27" s="182"/>
      <c r="Z27" s="183">
        <f>S27*AA27</f>
        <v>330000</v>
      </c>
      <c r="AA27" s="184">
        <v>1.6</v>
      </c>
      <c r="AB27" s="185">
        <f t="shared" ref="AB27" si="14">S27*AC27</f>
        <v>330000</v>
      </c>
      <c r="AC27" s="186">
        <f>AA27</f>
        <v>1.6</v>
      </c>
      <c r="AD27" s="183">
        <f>S27*AE27</f>
        <v>330000</v>
      </c>
      <c r="AE27" s="187">
        <f>AC27</f>
        <v>1.6</v>
      </c>
      <c r="AF27" s="183">
        <f>S27*AG27</f>
        <v>330000</v>
      </c>
      <c r="AG27" s="187">
        <v>1.6</v>
      </c>
      <c r="AH27" s="280">
        <f>S27*AI27</f>
        <v>330000</v>
      </c>
      <c r="AI27" s="198">
        <v>1.6</v>
      </c>
      <c r="AJ27" s="154"/>
      <c r="AK27" s="239"/>
    </row>
    <row r="28" spans="1:37" ht="48.65" customHeight="1" x14ac:dyDescent="0.3">
      <c r="A28" s="155">
        <v>2</v>
      </c>
      <c r="B28" s="160" t="s">
        <v>92</v>
      </c>
      <c r="C28" s="142" t="s">
        <v>44</v>
      </c>
      <c r="D28" s="142" t="s">
        <v>122</v>
      </c>
      <c r="E28" s="161" t="s">
        <v>118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145">
        <v>7.9</v>
      </c>
      <c r="K28" s="191" t="s">
        <v>145</v>
      </c>
      <c r="L28" s="156" t="s">
        <v>8</v>
      </c>
      <c r="M28" s="145">
        <f>1603+1728</f>
        <v>3331</v>
      </c>
      <c r="N28" s="192">
        <f>45.26+38.23</f>
        <v>83.49</v>
      </c>
      <c r="O28" s="165">
        <f t="shared" si="12"/>
        <v>17.37</v>
      </c>
      <c r="P28" s="135">
        <f t="shared" si="13"/>
        <v>693.01077973409997</v>
      </c>
      <c r="Q28" s="180">
        <f t="shared" ref="Q28:Q48" si="15">(P28*R28)/S28</f>
        <v>6.0480940776794175E-2</v>
      </c>
      <c r="R28" s="149">
        <v>18</v>
      </c>
      <c r="S28" s="149">
        <v>206250</v>
      </c>
      <c r="T28" s="379">
        <f>AB28+AD28+AF28+AH28</f>
        <v>1320000</v>
      </c>
      <c r="U28" s="181">
        <v>2</v>
      </c>
      <c r="V28" s="148"/>
      <c r="W28" s="182"/>
      <c r="X28" s="145"/>
      <c r="Y28" s="182"/>
      <c r="Z28" s="271"/>
      <c r="AA28" s="272"/>
      <c r="AB28" s="187">
        <f>S32*AC28</f>
        <v>330000</v>
      </c>
      <c r="AC28" s="184">
        <v>1.2</v>
      </c>
      <c r="AD28" s="183">
        <f>S32*AE28</f>
        <v>330000</v>
      </c>
      <c r="AE28" s="187">
        <f>AC28</f>
        <v>1.2</v>
      </c>
      <c r="AF28" s="183">
        <f>S32*AG28</f>
        <v>330000</v>
      </c>
      <c r="AG28" s="187">
        <f>AE28</f>
        <v>1.2</v>
      </c>
      <c r="AH28" s="280">
        <f>S32*AI28</f>
        <v>330000</v>
      </c>
      <c r="AI28" s="273">
        <v>1.2</v>
      </c>
      <c r="AJ28" s="154"/>
      <c r="AK28" s="239"/>
    </row>
    <row r="29" spans="1:37" ht="48.65" customHeight="1" x14ac:dyDescent="0.3">
      <c r="A29" s="155">
        <v>3</v>
      </c>
      <c r="B29" s="160" t="s">
        <v>86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145">
        <v>4.75</v>
      </c>
      <c r="K29" s="179" t="s">
        <v>23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12"/>
        <v>11.07</v>
      </c>
      <c r="P29" s="135">
        <f t="shared" si="13"/>
        <v>1042.774054054054</v>
      </c>
      <c r="Q29" s="180">
        <f t="shared" si="15"/>
        <v>0.10111748402948403</v>
      </c>
      <c r="R29" s="149">
        <v>20</v>
      </c>
      <c r="S29" s="149">
        <v>206250</v>
      </c>
      <c r="T29" s="142"/>
      <c r="U29" s="181">
        <v>3</v>
      </c>
      <c r="V29" s="148"/>
      <c r="W29" s="182"/>
      <c r="X29" s="145"/>
      <c r="Y29" s="182"/>
      <c r="Z29" s="271"/>
      <c r="AA29" s="272"/>
      <c r="AB29" s="274"/>
      <c r="AC29" s="217"/>
      <c r="AD29" s="188">
        <f>5000*AE29</f>
        <v>23750</v>
      </c>
      <c r="AE29" s="299">
        <v>4.75</v>
      </c>
      <c r="AF29" s="188">
        <f>5000*AG29</f>
        <v>23750</v>
      </c>
      <c r="AG29" s="299">
        <v>4.75</v>
      </c>
      <c r="AH29" s="189">
        <f t="shared" ref="AH29:AH33" si="16">5000*AI29</f>
        <v>23750</v>
      </c>
      <c r="AI29" s="300">
        <v>4.75</v>
      </c>
      <c r="AJ29" s="154"/>
      <c r="AK29" s="239"/>
    </row>
    <row r="30" spans="1:37" ht="48.65" customHeight="1" x14ac:dyDescent="0.3">
      <c r="A30" s="155">
        <v>4</v>
      </c>
      <c r="B30" s="160" t="s">
        <v>42</v>
      </c>
      <c r="C30" s="142" t="s">
        <v>45</v>
      </c>
      <c r="D30" s="142" t="s">
        <v>127</v>
      </c>
      <c r="E30" s="179" t="s">
        <v>106</v>
      </c>
      <c r="F30" s="190">
        <v>127.01532400000001</v>
      </c>
      <c r="G30" s="190">
        <v>-8.4430669999999992</v>
      </c>
      <c r="H30" s="190">
        <v>127.03996600000001</v>
      </c>
      <c r="I30" s="190">
        <v>-8.4615939999999998</v>
      </c>
      <c r="J30" s="145">
        <v>4.2</v>
      </c>
      <c r="K30" s="179" t="s">
        <v>23</v>
      </c>
      <c r="L30" s="156" t="s">
        <v>8</v>
      </c>
      <c r="M30" s="145">
        <v>3754</v>
      </c>
      <c r="N30" s="145">
        <v>99.33</v>
      </c>
      <c r="O30" s="165">
        <f t="shared" si="12"/>
        <v>9.9700000000000006</v>
      </c>
      <c r="P30" s="135">
        <f t="shared" si="13"/>
        <v>376.79834893788387</v>
      </c>
      <c r="Q30" s="180">
        <f t="shared" si="15"/>
        <v>4.8230188664049135E-2</v>
      </c>
      <c r="R30" s="149">
        <v>20</v>
      </c>
      <c r="S30" s="149">
        <v>156250</v>
      </c>
      <c r="T30" s="142"/>
      <c r="U30" s="181">
        <v>4</v>
      </c>
      <c r="V30" s="148"/>
      <c r="W30" s="165"/>
      <c r="X30" s="148"/>
      <c r="Y30" s="165"/>
      <c r="Z30" s="271"/>
      <c r="AA30" s="272"/>
      <c r="AB30" s="274"/>
      <c r="AC30" s="217"/>
      <c r="AD30" s="188">
        <f>5000*AE30</f>
        <v>21000</v>
      </c>
      <c r="AE30" s="151">
        <v>4.2</v>
      </c>
      <c r="AF30" s="188">
        <f>5000*AG30</f>
        <v>21000</v>
      </c>
      <c r="AG30" s="151">
        <v>4.2</v>
      </c>
      <c r="AH30" s="189">
        <f t="shared" si="16"/>
        <v>21000</v>
      </c>
      <c r="AI30" s="153">
        <v>4.2</v>
      </c>
      <c r="AJ30" s="154"/>
      <c r="AK30" s="239"/>
    </row>
    <row r="31" spans="1:37" ht="48.65" customHeight="1" x14ac:dyDescent="0.3">
      <c r="A31" s="155">
        <v>5</v>
      </c>
      <c r="B31" s="160" t="s">
        <v>42</v>
      </c>
      <c r="C31" s="142" t="s">
        <v>46</v>
      </c>
      <c r="D31" s="142" t="s">
        <v>125</v>
      </c>
      <c r="E31" s="179" t="s">
        <v>103</v>
      </c>
      <c r="F31" s="190">
        <v>126.85367100000001</v>
      </c>
      <c r="G31" s="190">
        <v>-8.7392339999999997</v>
      </c>
      <c r="H31" s="190">
        <v>126.860315</v>
      </c>
      <c r="I31" s="190">
        <v>-8.7382530000000003</v>
      </c>
      <c r="J31" s="145">
        <v>8.5</v>
      </c>
      <c r="K31" s="179" t="s">
        <v>84</v>
      </c>
      <c r="L31" s="156" t="s">
        <v>8</v>
      </c>
      <c r="M31" s="145">
        <v>2707</v>
      </c>
      <c r="N31" s="145">
        <v>52.84</v>
      </c>
      <c r="O31" s="165">
        <f t="shared" si="12"/>
        <v>18.57</v>
      </c>
      <c r="P31" s="135">
        <f t="shared" si="13"/>
        <v>951.34348978046933</v>
      </c>
      <c r="Q31" s="180">
        <f t="shared" si="15"/>
        <v>6.9188617438579583E-2</v>
      </c>
      <c r="R31" s="149">
        <v>15</v>
      </c>
      <c r="S31" s="149">
        <v>206250</v>
      </c>
      <c r="T31" s="142"/>
      <c r="U31" s="181">
        <v>5</v>
      </c>
      <c r="V31" s="148"/>
      <c r="W31" s="165"/>
      <c r="X31" s="148"/>
      <c r="Y31" s="165"/>
      <c r="Z31" s="271"/>
      <c r="AA31" s="272"/>
      <c r="AB31" s="274"/>
      <c r="AC31" s="217"/>
      <c r="AD31" s="271"/>
      <c r="AE31" s="148"/>
      <c r="AF31" s="271"/>
      <c r="AG31" s="148"/>
      <c r="AH31" s="196"/>
      <c r="AI31" s="278"/>
      <c r="AJ31" s="154"/>
      <c r="AK31" s="239"/>
    </row>
    <row r="32" spans="1:37" ht="48.65" customHeight="1" x14ac:dyDescent="0.3">
      <c r="A32" s="155">
        <v>6</v>
      </c>
      <c r="B32" s="141" t="s">
        <v>42</v>
      </c>
      <c r="C32" s="142" t="s">
        <v>44</v>
      </c>
      <c r="D32" s="142" t="s">
        <v>131</v>
      </c>
      <c r="E32" s="177" t="s">
        <v>110</v>
      </c>
      <c r="F32" s="190">
        <v>126.976018</v>
      </c>
      <c r="G32" s="190">
        <v>-8.3452190000000002</v>
      </c>
      <c r="H32" s="190">
        <v>127.022965</v>
      </c>
      <c r="I32" s="190">
        <v>-8.3686530000000001</v>
      </c>
      <c r="J32" s="145">
        <v>7.5</v>
      </c>
      <c r="K32" s="179" t="s">
        <v>146</v>
      </c>
      <c r="L32" s="156" t="s">
        <v>8</v>
      </c>
      <c r="M32" s="145">
        <f>3709+3345</f>
        <v>7054</v>
      </c>
      <c r="N32" s="145">
        <f>59.77+82.14</f>
        <v>141.91</v>
      </c>
      <c r="O32" s="165">
        <f t="shared" si="12"/>
        <v>16.57</v>
      </c>
      <c r="P32" s="135">
        <f t="shared" si="13"/>
        <v>823.6542879289691</v>
      </c>
      <c r="Q32" s="180">
        <f t="shared" si="15"/>
        <v>4.4926597523398309E-2</v>
      </c>
      <c r="R32" s="149">
        <v>15</v>
      </c>
      <c r="S32" s="149">
        <v>275000</v>
      </c>
      <c r="T32" s="142"/>
      <c r="U32" s="181">
        <v>6</v>
      </c>
      <c r="V32" s="148"/>
      <c r="W32" s="165"/>
      <c r="X32" s="148"/>
      <c r="Y32" s="165"/>
      <c r="Z32" s="148"/>
      <c r="AA32" s="165"/>
      <c r="AB32" s="283"/>
      <c r="AC32" s="283"/>
      <c r="AD32" s="283"/>
      <c r="AE32" s="283"/>
      <c r="AF32" s="283"/>
      <c r="AG32" s="283"/>
      <c r="AH32" s="283"/>
      <c r="AI32" s="283"/>
      <c r="AJ32" s="154"/>
      <c r="AK32" s="239"/>
    </row>
    <row r="33" spans="1:37" ht="48.65" customHeight="1" x14ac:dyDescent="0.3">
      <c r="A33" s="155">
        <v>7</v>
      </c>
      <c r="B33" s="160" t="s">
        <v>42</v>
      </c>
      <c r="C33" s="194" t="s">
        <v>95</v>
      </c>
      <c r="D33" s="194" t="s">
        <v>141</v>
      </c>
      <c r="E33" s="194" t="s">
        <v>140</v>
      </c>
      <c r="F33" s="190">
        <v>127.00926</v>
      </c>
      <c r="G33" s="190">
        <v>-8.6153080000000006</v>
      </c>
      <c r="H33" s="190">
        <v>127.007327</v>
      </c>
      <c r="I33" s="190">
        <v>-8.6199340000000007</v>
      </c>
      <c r="J33" s="181">
        <v>1.5</v>
      </c>
      <c r="K33" s="194" t="s">
        <v>23</v>
      </c>
      <c r="L33" s="195" t="s">
        <v>8</v>
      </c>
      <c r="M33" s="145">
        <f>3708+1655</f>
        <v>5363</v>
      </c>
      <c r="N33" s="145">
        <f>133.77+23.89</f>
        <v>157.66000000000003</v>
      </c>
      <c r="O33" s="165">
        <f t="shared" si="12"/>
        <v>4.57</v>
      </c>
      <c r="P33" s="135">
        <f t="shared" si="13"/>
        <v>155.45420525180768</v>
      </c>
      <c r="Q33" s="180">
        <f t="shared" si="15"/>
        <v>1.5074347175932866E-2</v>
      </c>
      <c r="R33" s="165">
        <v>20</v>
      </c>
      <c r="S33" s="196">
        <v>206250</v>
      </c>
      <c r="T33" s="378">
        <f>Z33</f>
        <v>309375</v>
      </c>
      <c r="U33" s="181">
        <v>7</v>
      </c>
      <c r="V33" s="165"/>
      <c r="W33" s="165"/>
      <c r="X33" s="165"/>
      <c r="Y33" s="165"/>
      <c r="Z33" s="275">
        <f>S33*AA33</f>
        <v>309375</v>
      </c>
      <c r="AA33" s="273">
        <v>1.5</v>
      </c>
      <c r="AB33" s="151">
        <f>5000*AC33</f>
        <v>7500</v>
      </c>
      <c r="AC33" s="276">
        <v>1.5</v>
      </c>
      <c r="AD33" s="188">
        <f>5000*AE33</f>
        <v>7500</v>
      </c>
      <c r="AE33" s="151">
        <v>1.5</v>
      </c>
      <c r="AF33" s="188">
        <f>5000*AG33</f>
        <v>7500</v>
      </c>
      <c r="AG33" s="153">
        <v>1.5</v>
      </c>
      <c r="AH33" s="189">
        <f t="shared" si="16"/>
        <v>7500</v>
      </c>
      <c r="AI33" s="197">
        <v>1.5</v>
      </c>
      <c r="AJ33" s="154"/>
      <c r="AK33" s="239"/>
    </row>
    <row r="34" spans="1:37" ht="48.65" customHeight="1" x14ac:dyDescent="0.3">
      <c r="A34" s="155">
        <v>8</v>
      </c>
      <c r="B34" s="160" t="s">
        <v>90</v>
      </c>
      <c r="C34" s="142" t="s">
        <v>44</v>
      </c>
      <c r="D34" s="142" t="s">
        <v>121</v>
      </c>
      <c r="E34" s="161" t="s">
        <v>115</v>
      </c>
      <c r="F34" s="190">
        <v>126.93129999999999</v>
      </c>
      <c r="G34" s="190">
        <v>-8.3599370000000004</v>
      </c>
      <c r="H34" s="190">
        <v>126.976018</v>
      </c>
      <c r="I34" s="190">
        <v>-8.3452190000000002</v>
      </c>
      <c r="J34" s="145">
        <v>7.9</v>
      </c>
      <c r="K34" s="143" t="s">
        <v>24</v>
      </c>
      <c r="L34" s="156" t="s">
        <v>8</v>
      </c>
      <c r="M34" s="145">
        <v>3345</v>
      </c>
      <c r="N34" s="145">
        <v>82.14</v>
      </c>
      <c r="O34" s="165">
        <f t="shared" si="12"/>
        <v>17.37</v>
      </c>
      <c r="P34" s="135">
        <f t="shared" si="13"/>
        <v>707.36121256391527</v>
      </c>
      <c r="Q34" s="180">
        <f t="shared" si="15"/>
        <v>3.4296301215220135E-2</v>
      </c>
      <c r="R34" s="149">
        <v>10</v>
      </c>
      <c r="S34" s="149">
        <v>206250</v>
      </c>
      <c r="T34" s="142"/>
      <c r="U34" s="181">
        <v>8</v>
      </c>
      <c r="V34" s="148"/>
      <c r="W34" s="165"/>
      <c r="X34" s="148"/>
      <c r="Y34" s="182"/>
      <c r="Z34" s="145"/>
      <c r="AA34" s="182"/>
      <c r="AB34" s="148"/>
      <c r="AC34" s="272"/>
      <c r="AD34" s="271"/>
      <c r="AE34" s="148"/>
      <c r="AF34" s="271"/>
      <c r="AG34" s="278"/>
      <c r="AH34" s="196"/>
      <c r="AI34" s="279"/>
      <c r="AJ34" s="281"/>
      <c r="AK34" s="239"/>
    </row>
    <row r="35" spans="1:37" ht="48.65" customHeight="1" x14ac:dyDescent="0.3">
      <c r="A35" s="155">
        <v>9</v>
      </c>
      <c r="B35" s="163" t="s">
        <v>42</v>
      </c>
      <c r="C35" s="142" t="s">
        <v>44</v>
      </c>
      <c r="D35" s="142" t="s">
        <v>126</v>
      </c>
      <c r="E35" s="179" t="s">
        <v>105</v>
      </c>
      <c r="F35" s="199">
        <v>126.882902</v>
      </c>
      <c r="G35" s="199">
        <v>-8.4679020000000005</v>
      </c>
      <c r="H35" s="199">
        <v>126.885096</v>
      </c>
      <c r="I35" s="199">
        <v>-8.4903739999999992</v>
      </c>
      <c r="J35" s="145">
        <v>3.5</v>
      </c>
      <c r="K35" s="179" t="s">
        <v>84</v>
      </c>
      <c r="L35" s="156" t="s">
        <v>8</v>
      </c>
      <c r="M35" s="145">
        <v>2515</v>
      </c>
      <c r="N35" s="145">
        <v>61.27</v>
      </c>
      <c r="O35" s="165">
        <f t="shared" si="12"/>
        <v>8.57</v>
      </c>
      <c r="P35" s="135">
        <f t="shared" si="13"/>
        <v>351.77982699526689</v>
      </c>
      <c r="Q35" s="180">
        <f t="shared" si="15"/>
        <v>2.558398741783759E-2</v>
      </c>
      <c r="R35" s="149">
        <v>15</v>
      </c>
      <c r="S35" s="149">
        <v>206250</v>
      </c>
      <c r="T35" s="142"/>
      <c r="U35" s="181">
        <v>9</v>
      </c>
      <c r="V35" s="148"/>
      <c r="W35" s="165"/>
      <c r="X35" s="148"/>
      <c r="Y35" s="182"/>
      <c r="Z35" s="145"/>
      <c r="AA35" s="182"/>
      <c r="AB35" s="148"/>
      <c r="AC35" s="272"/>
      <c r="AD35" s="271"/>
      <c r="AE35" s="148"/>
      <c r="AF35" s="271"/>
      <c r="AG35" s="278"/>
      <c r="AH35" s="196"/>
      <c r="AI35" s="279"/>
      <c r="AJ35" s="154"/>
      <c r="AK35" s="239"/>
    </row>
    <row r="36" spans="1:37" ht="48.65" customHeight="1" x14ac:dyDescent="0.3">
      <c r="A36" s="155">
        <v>10</v>
      </c>
      <c r="B36" s="160" t="s">
        <v>89</v>
      </c>
      <c r="C36" s="142" t="s">
        <v>44</v>
      </c>
      <c r="D36" s="142" t="s">
        <v>134</v>
      </c>
      <c r="E36" s="179" t="s">
        <v>114</v>
      </c>
      <c r="F36" s="199">
        <v>126.911095</v>
      </c>
      <c r="G36" s="199">
        <v>-8.4023389999999996</v>
      </c>
      <c r="H36" s="190">
        <v>126.93129999999999</v>
      </c>
      <c r="I36" s="190">
        <v>-8.3599370000000004</v>
      </c>
      <c r="J36" s="145">
        <v>5.7</v>
      </c>
      <c r="K36" s="143" t="s">
        <v>24</v>
      </c>
      <c r="L36" s="156" t="s">
        <v>8</v>
      </c>
      <c r="M36" s="145">
        <f>2124+3345</f>
        <v>5469</v>
      </c>
      <c r="N36" s="145">
        <f>20.62+82.14</f>
        <v>102.76</v>
      </c>
      <c r="O36" s="165">
        <f t="shared" si="12"/>
        <v>12.97</v>
      </c>
      <c r="P36" s="135">
        <f t="shared" si="13"/>
        <v>690.27763721292331</v>
      </c>
      <c r="Q36" s="180">
        <f t="shared" si="15"/>
        <v>3.3468006652747795E-2</v>
      </c>
      <c r="R36" s="149">
        <v>10</v>
      </c>
      <c r="S36" s="149">
        <v>206250</v>
      </c>
      <c r="T36" s="142"/>
      <c r="U36" s="181">
        <v>10</v>
      </c>
      <c r="V36" s="148"/>
      <c r="W36" s="165"/>
      <c r="X36" s="148"/>
      <c r="Y36" s="165"/>
      <c r="Z36" s="148"/>
      <c r="AA36" s="165"/>
      <c r="AB36" s="148"/>
      <c r="AC36" s="272"/>
      <c r="AD36" s="271"/>
      <c r="AE36" s="148"/>
      <c r="AF36" s="271"/>
      <c r="AG36" s="278"/>
      <c r="AH36" s="196"/>
      <c r="AI36" s="279"/>
      <c r="AJ36" s="154"/>
      <c r="AK36" s="239"/>
    </row>
    <row r="37" spans="1:37" ht="48.65" customHeight="1" x14ac:dyDescent="0.3">
      <c r="A37" s="155">
        <v>11</v>
      </c>
      <c r="B37" s="163" t="s">
        <v>93</v>
      </c>
      <c r="C37" s="142" t="s">
        <v>45</v>
      </c>
      <c r="D37" s="142" t="s">
        <v>58</v>
      </c>
      <c r="E37" s="179" t="s">
        <v>96</v>
      </c>
      <c r="F37" s="178">
        <v>126.951606</v>
      </c>
      <c r="G37" s="178">
        <v>-8.5208480000000009</v>
      </c>
      <c r="H37" s="178">
        <v>126.952022</v>
      </c>
      <c r="I37" s="178">
        <v>-8.5286249999999999</v>
      </c>
      <c r="J37" s="145">
        <v>1</v>
      </c>
      <c r="K37" s="179" t="s">
        <v>23</v>
      </c>
      <c r="L37" s="156" t="s">
        <v>8</v>
      </c>
      <c r="M37" s="145">
        <v>4111</v>
      </c>
      <c r="N37" s="145">
        <v>43.4</v>
      </c>
      <c r="O37" s="165">
        <f t="shared" si="12"/>
        <v>3.5700000000000003</v>
      </c>
      <c r="P37" s="135">
        <f t="shared" si="13"/>
        <v>338.16290322580653</v>
      </c>
      <c r="Q37" s="180">
        <f t="shared" si="15"/>
        <v>4.3284851612903234E-2</v>
      </c>
      <c r="R37" s="149">
        <v>20</v>
      </c>
      <c r="S37" s="149">
        <v>156250</v>
      </c>
      <c r="T37" s="142"/>
      <c r="U37" s="181">
        <v>11</v>
      </c>
      <c r="V37" s="148"/>
      <c r="W37" s="165"/>
      <c r="X37" s="148"/>
      <c r="Y37" s="182"/>
      <c r="Z37" s="145"/>
      <c r="AA37" s="182"/>
      <c r="AB37" s="145"/>
      <c r="AC37" s="182"/>
      <c r="AD37" s="271"/>
      <c r="AE37" s="148"/>
      <c r="AF37" s="271"/>
      <c r="AG37" s="148"/>
      <c r="AH37" s="196"/>
      <c r="AI37" s="279"/>
      <c r="AJ37" s="154"/>
      <c r="AK37" s="239"/>
    </row>
    <row r="38" spans="1:37" ht="48.65" customHeight="1" x14ac:dyDescent="0.3">
      <c r="A38" s="155">
        <v>12</v>
      </c>
      <c r="B38" s="160" t="s">
        <v>39</v>
      </c>
      <c r="C38" s="142" t="s">
        <v>45</v>
      </c>
      <c r="D38" s="142" t="s">
        <v>57</v>
      </c>
      <c r="E38" s="161" t="s">
        <v>74</v>
      </c>
      <c r="F38" s="200">
        <v>127.06660100000001</v>
      </c>
      <c r="G38" s="200">
        <v>-8.5178139999999996</v>
      </c>
      <c r="H38" s="200">
        <v>127.08969</v>
      </c>
      <c r="I38" s="200">
        <v>-8.5144680000000008</v>
      </c>
      <c r="J38" s="145">
        <v>3</v>
      </c>
      <c r="K38" s="142" t="s">
        <v>84</v>
      </c>
      <c r="L38" s="156" t="s">
        <v>8</v>
      </c>
      <c r="M38" s="145">
        <v>2785</v>
      </c>
      <c r="N38" s="145">
        <v>76.28</v>
      </c>
      <c r="O38" s="165">
        <f t="shared" si="12"/>
        <v>7.57</v>
      </c>
      <c r="P38" s="135">
        <f t="shared" si="13"/>
        <v>276.38240692186679</v>
      </c>
      <c r="Q38" s="180">
        <f t="shared" si="15"/>
        <v>2.6532711064499209E-2</v>
      </c>
      <c r="R38" s="149">
        <v>15</v>
      </c>
      <c r="S38" s="149">
        <v>156250</v>
      </c>
      <c r="T38" s="142"/>
      <c r="U38" s="181">
        <v>12</v>
      </c>
      <c r="V38" s="148"/>
      <c r="W38" s="165"/>
      <c r="X38" s="148"/>
      <c r="Y38" s="182"/>
      <c r="Z38" s="145"/>
      <c r="AA38" s="182"/>
      <c r="AB38" s="145"/>
      <c r="AC38" s="182"/>
      <c r="AD38" s="271"/>
      <c r="AE38" s="148"/>
      <c r="AF38" s="271"/>
      <c r="AG38" s="148"/>
      <c r="AH38" s="196"/>
      <c r="AI38" s="279"/>
      <c r="AJ38" s="154"/>
      <c r="AK38" s="239"/>
    </row>
    <row r="39" spans="1:37" ht="48.65" customHeight="1" x14ac:dyDescent="0.3">
      <c r="A39" s="155">
        <v>13</v>
      </c>
      <c r="B39" s="160" t="s">
        <v>42</v>
      </c>
      <c r="C39" s="142" t="s">
        <v>46</v>
      </c>
      <c r="D39" s="142" t="s">
        <v>125</v>
      </c>
      <c r="E39" s="179" t="s">
        <v>102</v>
      </c>
      <c r="F39" s="190">
        <v>126.826892</v>
      </c>
      <c r="G39" s="190">
        <v>-8.7096719999999994</v>
      </c>
      <c r="H39" s="190">
        <v>126.833938</v>
      </c>
      <c r="I39" s="190">
        <v>-8.7219470000000001</v>
      </c>
      <c r="J39" s="145">
        <v>3</v>
      </c>
      <c r="K39" s="179" t="s">
        <v>84</v>
      </c>
      <c r="L39" s="156" t="s">
        <v>8</v>
      </c>
      <c r="M39" s="145">
        <v>2707</v>
      </c>
      <c r="N39" s="145">
        <v>52.84</v>
      </c>
      <c r="O39" s="165">
        <f t="shared" si="12"/>
        <v>7.57</v>
      </c>
      <c r="P39" s="135">
        <f t="shared" si="13"/>
        <v>387.81207418622256</v>
      </c>
      <c r="Q39" s="180">
        <f t="shared" si="15"/>
        <v>2.1153385864703049E-2</v>
      </c>
      <c r="R39" s="149">
        <v>15</v>
      </c>
      <c r="S39" s="149">
        <v>275000</v>
      </c>
      <c r="T39" s="142"/>
      <c r="U39" s="181">
        <v>13</v>
      </c>
      <c r="V39" s="148"/>
      <c r="W39" s="165"/>
      <c r="X39" s="148"/>
      <c r="Y39" s="165"/>
      <c r="Z39" s="148"/>
      <c r="AA39" s="182"/>
      <c r="AB39" s="145"/>
      <c r="AC39" s="182"/>
      <c r="AD39" s="271"/>
      <c r="AE39" s="148"/>
      <c r="AF39" s="271"/>
      <c r="AG39" s="148"/>
      <c r="AH39" s="196"/>
      <c r="AI39" s="279"/>
      <c r="AJ39" s="154"/>
      <c r="AK39" s="239"/>
    </row>
    <row r="40" spans="1:37" ht="48.65" customHeight="1" x14ac:dyDescent="0.3">
      <c r="A40" s="155">
        <v>14</v>
      </c>
      <c r="B40" s="160" t="s">
        <v>39</v>
      </c>
      <c r="C40" s="142" t="s">
        <v>45</v>
      </c>
      <c r="D40" s="142" t="s">
        <v>57</v>
      </c>
      <c r="E40" s="161" t="s">
        <v>117</v>
      </c>
      <c r="F40" s="190">
        <v>127.08969</v>
      </c>
      <c r="G40" s="190">
        <v>-8.5144680000000008</v>
      </c>
      <c r="H40" s="190">
        <v>127.111547</v>
      </c>
      <c r="I40" s="190">
        <v>-8.4924769999999992</v>
      </c>
      <c r="J40" s="145">
        <v>3.5</v>
      </c>
      <c r="K40" s="143" t="s">
        <v>24</v>
      </c>
      <c r="L40" s="156" t="s">
        <v>8</v>
      </c>
      <c r="M40" s="145">
        <v>2785</v>
      </c>
      <c r="N40" s="145">
        <v>76.28</v>
      </c>
      <c r="O40" s="165">
        <f t="shared" si="12"/>
        <v>8.57</v>
      </c>
      <c r="P40" s="135">
        <f t="shared" si="13"/>
        <v>312.89263240692185</v>
      </c>
      <c r="Q40" s="180">
        <f t="shared" si="15"/>
        <v>2.0025128474042999E-2</v>
      </c>
      <c r="R40" s="149">
        <v>10</v>
      </c>
      <c r="S40" s="149">
        <v>156250</v>
      </c>
      <c r="T40" s="142"/>
      <c r="U40" s="181">
        <v>14</v>
      </c>
      <c r="V40" s="148"/>
      <c r="W40" s="165"/>
      <c r="X40" s="148"/>
      <c r="Y40" s="165"/>
      <c r="Z40" s="148"/>
      <c r="AA40" s="165"/>
      <c r="AB40" s="148"/>
      <c r="AC40" s="182"/>
      <c r="AD40" s="271"/>
      <c r="AE40" s="148"/>
      <c r="AF40" s="271"/>
      <c r="AG40" s="148"/>
      <c r="AH40" s="196"/>
      <c r="AI40" s="279"/>
      <c r="AJ40" s="154"/>
      <c r="AK40" s="239"/>
    </row>
    <row r="41" spans="1:37" ht="48.65" customHeight="1" x14ac:dyDescent="0.3">
      <c r="A41" s="155">
        <v>15</v>
      </c>
      <c r="B41" s="160" t="s">
        <v>41</v>
      </c>
      <c r="C41" s="142" t="s">
        <v>46</v>
      </c>
      <c r="D41" s="142" t="s">
        <v>133</v>
      </c>
      <c r="E41" s="161" t="s">
        <v>113</v>
      </c>
      <c r="F41" s="190">
        <v>126.828141</v>
      </c>
      <c r="G41" s="190">
        <v>-8.6896930000000001</v>
      </c>
      <c r="H41" s="199">
        <v>126.82643299999999</v>
      </c>
      <c r="I41" s="199">
        <v>-8.7008010000000002</v>
      </c>
      <c r="J41" s="145">
        <v>4</v>
      </c>
      <c r="K41" s="143" t="s">
        <v>84</v>
      </c>
      <c r="L41" s="156" t="s">
        <v>8</v>
      </c>
      <c r="M41" s="145">
        <f>2707+2049</f>
        <v>4756</v>
      </c>
      <c r="N41" s="145">
        <f>52.85+71.5</f>
        <v>124.35</v>
      </c>
      <c r="O41" s="165">
        <f t="shared" si="12"/>
        <v>9.57</v>
      </c>
      <c r="P41" s="135">
        <f t="shared" si="13"/>
        <v>366.0226779252111</v>
      </c>
      <c r="Q41" s="180">
        <f t="shared" si="15"/>
        <v>2.6619831121833536E-2</v>
      </c>
      <c r="R41" s="149">
        <v>15</v>
      </c>
      <c r="S41" s="149">
        <v>206250</v>
      </c>
      <c r="T41" s="142"/>
      <c r="U41" s="181">
        <v>15</v>
      </c>
      <c r="V41" s="148"/>
      <c r="W41" s="165"/>
      <c r="X41" s="148"/>
      <c r="Y41" s="165"/>
      <c r="Z41" s="148"/>
      <c r="AA41" s="165"/>
      <c r="AB41" s="148"/>
      <c r="AC41" s="182"/>
      <c r="AD41" s="145"/>
      <c r="AE41" s="148"/>
      <c r="AF41" s="148"/>
      <c r="AG41" s="148"/>
      <c r="AH41" s="271"/>
      <c r="AI41" s="278"/>
      <c r="AJ41" s="154"/>
      <c r="AK41" s="239"/>
    </row>
    <row r="42" spans="1:37" ht="48.65" customHeight="1" x14ac:dyDescent="0.3">
      <c r="A42" s="155">
        <v>16</v>
      </c>
      <c r="B42" s="160" t="s">
        <v>42</v>
      </c>
      <c r="C42" s="142" t="s">
        <v>95</v>
      </c>
      <c r="D42" s="142" t="s">
        <v>128</v>
      </c>
      <c r="E42" s="161" t="s">
        <v>107</v>
      </c>
      <c r="F42" s="190">
        <v>127.010875</v>
      </c>
      <c r="G42" s="190">
        <v>-8.6117260000000009</v>
      </c>
      <c r="H42" s="190">
        <v>127.048399</v>
      </c>
      <c r="I42" s="190">
        <v>-8.6006129999999992</v>
      </c>
      <c r="J42" s="145">
        <v>5</v>
      </c>
      <c r="K42" s="179" t="s">
        <v>24</v>
      </c>
      <c r="L42" s="156" t="s">
        <v>8</v>
      </c>
      <c r="M42" s="145">
        <v>3708</v>
      </c>
      <c r="N42" s="145">
        <v>133.69999999999999</v>
      </c>
      <c r="O42" s="165">
        <f t="shared" si="12"/>
        <v>11.57</v>
      </c>
      <c r="P42" s="135">
        <f t="shared" si="13"/>
        <v>320.87928197456995</v>
      </c>
      <c r="Q42" s="180">
        <f t="shared" si="15"/>
        <v>1.5557783368463998E-2</v>
      </c>
      <c r="R42" s="149">
        <v>10</v>
      </c>
      <c r="S42" s="149">
        <v>206250</v>
      </c>
      <c r="T42" s="142"/>
      <c r="U42" s="181">
        <v>16</v>
      </c>
      <c r="V42" s="148"/>
      <c r="W42" s="165"/>
      <c r="X42" s="148"/>
      <c r="Y42" s="165"/>
      <c r="Z42" s="148"/>
      <c r="AA42" s="182"/>
      <c r="AB42" s="145"/>
      <c r="AC42" s="182"/>
      <c r="AD42" s="145"/>
      <c r="AE42" s="148"/>
      <c r="AF42" s="148"/>
      <c r="AG42" s="148"/>
      <c r="AH42" s="271"/>
      <c r="AI42" s="278"/>
      <c r="AJ42" s="154"/>
      <c r="AK42" s="239"/>
    </row>
    <row r="43" spans="1:37" ht="48.65" customHeight="1" x14ac:dyDescent="0.3">
      <c r="A43" s="155">
        <v>17</v>
      </c>
      <c r="B43" s="160" t="s">
        <v>42</v>
      </c>
      <c r="C43" s="142" t="s">
        <v>46</v>
      </c>
      <c r="D43" s="142" t="s">
        <v>125</v>
      </c>
      <c r="E43" s="161" t="s">
        <v>108</v>
      </c>
      <c r="F43" s="199">
        <v>126.82301</v>
      </c>
      <c r="G43" s="199">
        <v>-8.7128040000000002</v>
      </c>
      <c r="H43" s="199">
        <v>126.80778599999999</v>
      </c>
      <c r="I43" s="199">
        <v>-8.7185459999999999</v>
      </c>
      <c r="J43" s="145">
        <v>2.5</v>
      </c>
      <c r="K43" s="179" t="s">
        <v>84</v>
      </c>
      <c r="L43" s="156" t="s">
        <v>8</v>
      </c>
      <c r="M43" s="145">
        <v>2707</v>
      </c>
      <c r="N43" s="145">
        <v>52.84</v>
      </c>
      <c r="O43" s="165">
        <f t="shared" si="12"/>
        <v>6.57</v>
      </c>
      <c r="P43" s="135">
        <f t="shared" si="13"/>
        <v>336.58194549583646</v>
      </c>
      <c r="Q43" s="180">
        <f t="shared" si="15"/>
        <v>1.8359015208863808E-2</v>
      </c>
      <c r="R43" s="149">
        <v>15</v>
      </c>
      <c r="S43" s="149">
        <v>275000</v>
      </c>
      <c r="T43" s="142"/>
      <c r="U43" s="181">
        <v>17</v>
      </c>
      <c r="V43" s="148"/>
      <c r="W43" s="165"/>
      <c r="X43" s="148"/>
      <c r="Y43" s="165"/>
      <c r="Z43" s="148"/>
      <c r="AA43" s="165"/>
      <c r="AB43" s="148"/>
      <c r="AC43" s="182"/>
      <c r="AD43" s="145"/>
      <c r="AE43" s="148"/>
      <c r="AF43" s="148"/>
      <c r="AG43" s="148"/>
      <c r="AH43" s="271"/>
      <c r="AI43" s="278"/>
      <c r="AJ43" s="154"/>
      <c r="AK43" s="239"/>
    </row>
    <row r="44" spans="1:37" ht="48.65" customHeight="1" x14ac:dyDescent="0.3">
      <c r="A44" s="155">
        <v>18</v>
      </c>
      <c r="B44" s="160" t="s">
        <v>42</v>
      </c>
      <c r="C44" s="142" t="s">
        <v>46</v>
      </c>
      <c r="D44" s="142" t="s">
        <v>125</v>
      </c>
      <c r="E44" s="179" t="s">
        <v>104</v>
      </c>
      <c r="F44" s="190">
        <v>126.83604099999999</v>
      </c>
      <c r="G44" s="190">
        <v>-8.6817060000000001</v>
      </c>
      <c r="H44" s="190">
        <v>126.859624</v>
      </c>
      <c r="I44" s="190">
        <v>-8.6872249999999998</v>
      </c>
      <c r="J44" s="145">
        <v>3.05</v>
      </c>
      <c r="K44" s="179" t="s">
        <v>84</v>
      </c>
      <c r="L44" s="156" t="s">
        <v>8</v>
      </c>
      <c r="M44" s="145">
        <v>1150</v>
      </c>
      <c r="N44" s="145">
        <v>97.5</v>
      </c>
      <c r="O44" s="165">
        <f t="shared" si="12"/>
        <v>7.67</v>
      </c>
      <c r="P44" s="135">
        <f t="shared" si="13"/>
        <v>90.466666666666669</v>
      </c>
      <c r="Q44" s="180">
        <f t="shared" si="15"/>
        <v>4.9345454545454545E-3</v>
      </c>
      <c r="R44" s="149">
        <v>15</v>
      </c>
      <c r="S44" s="149">
        <v>275000</v>
      </c>
      <c r="T44" s="142"/>
      <c r="U44" s="181">
        <v>18</v>
      </c>
      <c r="V44" s="148"/>
      <c r="W44" s="165"/>
      <c r="X44" s="148"/>
      <c r="Y44" s="182"/>
      <c r="Z44" s="145"/>
      <c r="AA44" s="182"/>
      <c r="AB44" s="145"/>
      <c r="AC44" s="182"/>
      <c r="AD44" s="145"/>
      <c r="AE44" s="148"/>
      <c r="AF44" s="148"/>
      <c r="AG44" s="148"/>
      <c r="AH44" s="271"/>
      <c r="AI44" s="278"/>
      <c r="AJ44" s="154"/>
      <c r="AK44" s="239"/>
    </row>
    <row r="45" spans="1:37" ht="48.65" customHeight="1" x14ac:dyDescent="0.3">
      <c r="A45" s="155">
        <v>19</v>
      </c>
      <c r="B45" s="160" t="s">
        <v>88</v>
      </c>
      <c r="C45" s="142" t="s">
        <v>44</v>
      </c>
      <c r="D45" s="142" t="s">
        <v>132</v>
      </c>
      <c r="E45" s="161" t="s">
        <v>112</v>
      </c>
      <c r="F45" s="190">
        <v>126.848935</v>
      </c>
      <c r="G45" s="190">
        <v>-8.5179659999999995</v>
      </c>
      <c r="H45" s="190">
        <v>126.888716</v>
      </c>
      <c r="I45" s="190">
        <v>-8.4564819999999994</v>
      </c>
      <c r="J45" s="145">
        <v>10.3</v>
      </c>
      <c r="K45" s="143" t="s">
        <v>135</v>
      </c>
      <c r="L45" s="201" t="s">
        <v>25</v>
      </c>
      <c r="M45" s="145">
        <v>1603</v>
      </c>
      <c r="N45" s="145">
        <v>45.26</v>
      </c>
      <c r="O45" s="165">
        <f t="shared" si="12"/>
        <v>22.17</v>
      </c>
      <c r="P45" s="135">
        <f t="shared" si="13"/>
        <v>785.20790985417602</v>
      </c>
      <c r="Q45" s="180">
        <f t="shared" si="15"/>
        <v>0</v>
      </c>
      <c r="R45" s="149"/>
      <c r="S45" s="149">
        <v>5000</v>
      </c>
      <c r="T45" s="142"/>
      <c r="U45" s="181">
        <v>19</v>
      </c>
      <c r="V45" s="148"/>
      <c r="W45" s="165"/>
      <c r="X45" s="148"/>
      <c r="Y45" s="165"/>
      <c r="Z45" s="148"/>
      <c r="AA45" s="165"/>
      <c r="AB45" s="277"/>
      <c r="AC45" s="217"/>
      <c r="AD45" s="277"/>
      <c r="AE45" s="148"/>
      <c r="AF45" s="277"/>
      <c r="AG45" s="148"/>
      <c r="AH45" s="271"/>
      <c r="AI45" s="279"/>
      <c r="AJ45" s="154"/>
      <c r="AK45" s="239"/>
    </row>
    <row r="46" spans="1:37" ht="48.65" customHeight="1" x14ac:dyDescent="0.3">
      <c r="A46" s="155">
        <v>20</v>
      </c>
      <c r="B46" s="141" t="s">
        <v>93</v>
      </c>
      <c r="C46" s="142" t="s">
        <v>45</v>
      </c>
      <c r="D46" s="142" t="s">
        <v>58</v>
      </c>
      <c r="E46" s="177" t="s">
        <v>119</v>
      </c>
      <c r="F46" s="190">
        <v>126.96513400000001</v>
      </c>
      <c r="G46" s="190">
        <v>-8.5304369999999992</v>
      </c>
      <c r="H46" s="204">
        <v>126.927727</v>
      </c>
      <c r="I46" s="204">
        <v>-8.5332489999999996</v>
      </c>
      <c r="J46" s="205">
        <v>5.8</v>
      </c>
      <c r="K46" s="206" t="s">
        <v>144</v>
      </c>
      <c r="L46" s="207" t="s">
        <v>25</v>
      </c>
      <c r="M46" s="205">
        <v>4111</v>
      </c>
      <c r="N46" s="205">
        <f>43.4</f>
        <v>43.4</v>
      </c>
      <c r="O46" s="165">
        <f t="shared" si="12"/>
        <v>13.17</v>
      </c>
      <c r="P46" s="135">
        <f t="shared" si="13"/>
        <v>1247.5085253456223</v>
      </c>
      <c r="Q46" s="180">
        <f t="shared" si="15"/>
        <v>0</v>
      </c>
      <c r="R46" s="149"/>
      <c r="S46" s="208">
        <v>5000</v>
      </c>
      <c r="T46" s="142"/>
      <c r="U46" s="181">
        <v>20</v>
      </c>
      <c r="V46" s="148"/>
      <c r="W46" s="165"/>
      <c r="X46" s="148"/>
      <c r="Y46" s="165"/>
      <c r="Z46" s="151">
        <f>5000*AA46</f>
        <v>29000</v>
      </c>
      <c r="AA46" s="193">
        <f>J46</f>
        <v>5.8</v>
      </c>
      <c r="AB46" s="202">
        <f>5000*AC46</f>
        <v>29000</v>
      </c>
      <c r="AC46" s="150">
        <f>AA46</f>
        <v>5.8</v>
      </c>
      <c r="AD46" s="202">
        <f>5000*AE46</f>
        <v>29000</v>
      </c>
      <c r="AE46" s="151">
        <f>AC46</f>
        <v>5.8</v>
      </c>
      <c r="AF46" s="202">
        <f>5000*AG46</f>
        <v>29000</v>
      </c>
      <c r="AG46" s="151">
        <f>AE46</f>
        <v>5.8</v>
      </c>
      <c r="AH46" s="188">
        <f>5000*AI46</f>
        <v>29000</v>
      </c>
      <c r="AI46" s="197">
        <f>AG46</f>
        <v>5.8</v>
      </c>
      <c r="AJ46" s="154"/>
      <c r="AK46" s="239"/>
    </row>
    <row r="47" spans="1:37" ht="48.65" customHeight="1" x14ac:dyDescent="0.3">
      <c r="A47" s="155">
        <v>21</v>
      </c>
      <c r="B47" s="160" t="s">
        <v>91</v>
      </c>
      <c r="C47" s="142" t="s">
        <v>44</v>
      </c>
      <c r="D47" s="142" t="s">
        <v>121</v>
      </c>
      <c r="E47" s="161" t="s">
        <v>116</v>
      </c>
      <c r="F47" s="190">
        <v>126.918738</v>
      </c>
      <c r="G47" s="190">
        <v>-8.3512190000000004</v>
      </c>
      <c r="H47" s="190">
        <v>126.93129999999999</v>
      </c>
      <c r="I47" s="190">
        <v>-8.3599370000000004</v>
      </c>
      <c r="J47" s="145">
        <v>2.1</v>
      </c>
      <c r="K47" s="143" t="s">
        <v>135</v>
      </c>
      <c r="L47" s="201" t="s">
        <v>25</v>
      </c>
      <c r="M47" s="145">
        <v>3345</v>
      </c>
      <c r="N47" s="145">
        <v>82.14</v>
      </c>
      <c r="O47" s="165">
        <f t="shared" si="12"/>
        <v>5.7700000000000005</v>
      </c>
      <c r="P47" s="135">
        <f t="shared" si="13"/>
        <v>234.97260774287804</v>
      </c>
      <c r="Q47" s="180">
        <f t="shared" si="15"/>
        <v>0</v>
      </c>
      <c r="R47" s="149"/>
      <c r="S47" s="149">
        <v>5000</v>
      </c>
      <c r="T47" s="142"/>
      <c r="U47" s="209">
        <v>21</v>
      </c>
      <c r="V47" s="218"/>
      <c r="W47" s="210"/>
      <c r="X47" s="218"/>
      <c r="Y47" s="219"/>
      <c r="Z47" s="151">
        <f>5000*AA47</f>
        <v>10500</v>
      </c>
      <c r="AA47" s="193">
        <f>J47</f>
        <v>2.1</v>
      </c>
      <c r="AB47" s="202">
        <f>5000*AC47</f>
        <v>10500</v>
      </c>
      <c r="AC47" s="150">
        <f>AA47</f>
        <v>2.1</v>
      </c>
      <c r="AD47" s="202">
        <f>5000*AE47</f>
        <v>10500</v>
      </c>
      <c r="AE47" s="151">
        <f>AC47</f>
        <v>2.1</v>
      </c>
      <c r="AF47" s="202">
        <f t="shared" ref="AF47" si="17">5000*AG47</f>
        <v>10500</v>
      </c>
      <c r="AG47" s="151">
        <f>AE47</f>
        <v>2.1</v>
      </c>
      <c r="AH47" s="188">
        <f>5000*AI47</f>
        <v>10500</v>
      </c>
      <c r="AI47" s="197">
        <f>AG47</f>
        <v>2.1</v>
      </c>
      <c r="AJ47" s="211"/>
      <c r="AK47" s="239"/>
    </row>
    <row r="48" spans="1:37" ht="48.65" customHeight="1" thickBot="1" x14ac:dyDescent="0.35">
      <c r="A48" s="155">
        <v>22</v>
      </c>
      <c r="B48" s="242" t="s">
        <v>87</v>
      </c>
      <c r="C48" s="243" t="s">
        <v>94</v>
      </c>
      <c r="D48" s="243" t="s">
        <v>94</v>
      </c>
      <c r="E48" s="244" t="s">
        <v>111</v>
      </c>
      <c r="F48" s="245">
        <v>127.255039</v>
      </c>
      <c r="G48" s="245">
        <v>-8.3953900000000008</v>
      </c>
      <c r="H48" s="245">
        <v>127.300624</v>
      </c>
      <c r="I48" s="245">
        <v>-8.4146269999999994</v>
      </c>
      <c r="J48" s="242">
        <v>8</v>
      </c>
      <c r="K48" s="244" t="s">
        <v>135</v>
      </c>
      <c r="L48" s="246" t="s">
        <v>25</v>
      </c>
      <c r="M48" s="242">
        <v>1989</v>
      </c>
      <c r="N48" s="242">
        <v>119.69</v>
      </c>
      <c r="O48" s="247">
        <f t="shared" si="12"/>
        <v>17.57</v>
      </c>
      <c r="P48" s="248">
        <f t="shared" si="13"/>
        <v>291.97702397861138</v>
      </c>
      <c r="Q48" s="249">
        <f t="shared" si="15"/>
        <v>0</v>
      </c>
      <c r="R48" s="250"/>
      <c r="S48" s="250">
        <v>5000</v>
      </c>
      <c r="T48" s="243"/>
      <c r="U48" s="251">
        <v>22</v>
      </c>
      <c r="V48" s="252"/>
      <c r="W48" s="247"/>
      <c r="X48" s="252"/>
      <c r="Y48" s="247"/>
      <c r="Z48" s="253">
        <f>5000*AA48</f>
        <v>40000</v>
      </c>
      <c r="AA48" s="254">
        <f>J48</f>
        <v>8</v>
      </c>
      <c r="AB48" s="255">
        <f>5000*AC48</f>
        <v>40000</v>
      </c>
      <c r="AC48" s="256">
        <f>AA48</f>
        <v>8</v>
      </c>
      <c r="AD48" s="255">
        <f>5000*AE48</f>
        <v>40000</v>
      </c>
      <c r="AE48" s="253">
        <f>AC48</f>
        <v>8</v>
      </c>
      <c r="AF48" s="202">
        <f>5000*AG48</f>
        <v>40000</v>
      </c>
      <c r="AG48" s="253">
        <f>AE48</f>
        <v>8</v>
      </c>
      <c r="AH48" s="259">
        <f>5000*AI48</f>
        <v>40000</v>
      </c>
      <c r="AI48" s="260">
        <f>AG48</f>
        <v>8</v>
      </c>
      <c r="AJ48" s="261"/>
      <c r="AK48" s="262"/>
    </row>
    <row r="49" spans="1:37" ht="36.65" customHeight="1" x14ac:dyDescent="0.45">
      <c r="A49" s="923" t="s">
        <v>142</v>
      </c>
      <c r="B49" s="924"/>
      <c r="C49" s="924"/>
      <c r="D49" s="924"/>
      <c r="E49" s="924"/>
      <c r="F49" s="924"/>
      <c r="G49" s="924"/>
      <c r="H49" s="924"/>
      <c r="I49" s="924"/>
      <c r="J49" s="924"/>
      <c r="K49" s="925"/>
      <c r="L49" s="112" t="s">
        <v>17</v>
      </c>
      <c r="M49" s="103"/>
      <c r="N49" s="103"/>
      <c r="O49" s="103"/>
      <c r="P49" s="103"/>
      <c r="Q49" s="103"/>
      <c r="R49" s="103"/>
      <c r="S49" s="103"/>
      <c r="T49" s="104"/>
      <c r="U49" s="105"/>
      <c r="V49" s="113">
        <v>0</v>
      </c>
      <c r="W49" s="113">
        <v>0</v>
      </c>
      <c r="X49" s="113">
        <v>0</v>
      </c>
      <c r="Y49" s="113">
        <v>0</v>
      </c>
      <c r="Z49" s="114">
        <f>SUM(Z9:Z25)+SUM(Z45:Z48)</f>
        <v>379250</v>
      </c>
      <c r="AA49" s="115">
        <f>SUM(AA9:AA25)+SUM(AA45:AA48)</f>
        <v>75.850000000000009</v>
      </c>
      <c r="AB49" s="114">
        <f>SUM(AB10:AB25)+SUM(AB45:AB48)+AB33</f>
        <v>351750</v>
      </c>
      <c r="AC49" s="115">
        <f>SUM(AC9:AC25)+SUM(AC45:AC48)+AC33</f>
        <v>77.350000000000009</v>
      </c>
      <c r="AD49" s="116">
        <f>SUM(AD9:AD25)+AD29+AD30+AD33+AD35+SUM(AD45:AD48)</f>
        <v>431500</v>
      </c>
      <c r="AE49" s="117">
        <f>SUM(AE9:AE25)+AE29+AE30+AE33+AE35+SUM(AE45:AE48)</f>
        <v>86.300000000000026</v>
      </c>
      <c r="AF49" s="116">
        <f>SUM(AF9:AF25)+AF29+AF30+AF33+AF46+AF47+AF48</f>
        <v>431500</v>
      </c>
      <c r="AG49" s="116">
        <f>SUM(AG9:AG25)+AG29+AG30+AG33+AG46+AG47+AG48</f>
        <v>86.300000000000011</v>
      </c>
      <c r="AH49" s="116">
        <f>SUM(AH9:AH25)+AH29+AH30+AH33+AH46+AH47+AH48</f>
        <v>431500</v>
      </c>
      <c r="AI49" s="118">
        <f>SUM(AI9:AI25)+AI29+AI30+AI33+AI46+AI47+AI48</f>
        <v>86.300000000000011</v>
      </c>
      <c r="AJ49" s="119">
        <f>V49+X49+Z49+AB49+AD49+AF49+AH49</f>
        <v>2025500</v>
      </c>
      <c r="AK49" s="266">
        <f>W49+Y49+AA49+AC49+AE49+AG49+AI49</f>
        <v>412.10000000000008</v>
      </c>
    </row>
    <row r="50" spans="1:37" ht="36.65" customHeight="1" x14ac:dyDescent="0.45">
      <c r="A50" s="926"/>
      <c r="B50" s="927"/>
      <c r="C50" s="927"/>
      <c r="D50" s="927"/>
      <c r="E50" s="927"/>
      <c r="F50" s="927"/>
      <c r="G50" s="927"/>
      <c r="H50" s="927"/>
      <c r="I50" s="927"/>
      <c r="J50" s="927"/>
      <c r="K50" s="928"/>
      <c r="L50" s="120" t="s">
        <v>18</v>
      </c>
      <c r="M50" s="102"/>
      <c r="N50" s="102"/>
      <c r="O50" s="102"/>
      <c r="P50" s="102"/>
      <c r="Q50" s="102"/>
      <c r="R50" s="102"/>
      <c r="S50" s="102"/>
      <c r="T50" s="106"/>
      <c r="U50" s="107"/>
      <c r="V50" s="121">
        <v>0</v>
      </c>
      <c r="W50" s="121">
        <v>0</v>
      </c>
      <c r="X50" s="121">
        <v>0</v>
      </c>
      <c r="Y50" s="121">
        <v>0</v>
      </c>
      <c r="Z50" s="121"/>
      <c r="AA50" s="121"/>
      <c r="AB50" s="121"/>
      <c r="AC50" s="122"/>
      <c r="AD50" s="123"/>
      <c r="AE50" s="123"/>
      <c r="AF50" s="123"/>
      <c r="AG50" s="123"/>
      <c r="AH50" s="123"/>
      <c r="AI50" s="124"/>
      <c r="AJ50" s="125">
        <f t="shared" ref="AJ50:AK51" si="18">V50+X50+Z50+AB50+AD50+AF50+AH50</f>
        <v>0</v>
      </c>
      <c r="AK50" s="267">
        <f t="shared" si="18"/>
        <v>0</v>
      </c>
    </row>
    <row r="51" spans="1:37" ht="36.65" customHeight="1" x14ac:dyDescent="0.45">
      <c r="A51" s="926"/>
      <c r="B51" s="927"/>
      <c r="C51" s="927"/>
      <c r="D51" s="927"/>
      <c r="E51" s="927"/>
      <c r="F51" s="927"/>
      <c r="G51" s="927"/>
      <c r="H51" s="927"/>
      <c r="I51" s="927"/>
      <c r="J51" s="927"/>
      <c r="K51" s="928"/>
      <c r="L51" s="126" t="s">
        <v>19</v>
      </c>
      <c r="M51" s="102"/>
      <c r="N51" s="102"/>
      <c r="O51" s="102"/>
      <c r="P51" s="102"/>
      <c r="Q51" s="102"/>
      <c r="R51" s="102"/>
      <c r="S51" s="102"/>
      <c r="T51" s="106"/>
      <c r="U51" s="108"/>
      <c r="V51" s="127">
        <v>0</v>
      </c>
      <c r="W51" s="127">
        <v>0</v>
      </c>
      <c r="X51" s="127">
        <v>0</v>
      </c>
      <c r="Y51" s="127">
        <v>0</v>
      </c>
      <c r="Z51" s="128">
        <f>SUM(Z27:Z31)+Z33</f>
        <v>639375</v>
      </c>
      <c r="AA51" s="129">
        <f>SUM(AA27:AA31)+AA33</f>
        <v>3.1</v>
      </c>
      <c r="AB51" s="128">
        <f>SUM(AB27:AB36)</f>
        <v>667500</v>
      </c>
      <c r="AC51" s="129">
        <f t="shared" ref="AC51:AI51" si="19">AC27+AC28</f>
        <v>2.8</v>
      </c>
      <c r="AD51" s="128">
        <f t="shared" si="19"/>
        <v>660000</v>
      </c>
      <c r="AE51" s="128">
        <f t="shared" si="19"/>
        <v>2.8</v>
      </c>
      <c r="AF51" s="128">
        <f t="shared" si="19"/>
        <v>660000</v>
      </c>
      <c r="AG51" s="128">
        <f t="shared" si="19"/>
        <v>2.8</v>
      </c>
      <c r="AH51" s="128">
        <f t="shared" si="19"/>
        <v>660000</v>
      </c>
      <c r="AI51" s="129">
        <f t="shared" si="19"/>
        <v>2.8</v>
      </c>
      <c r="AJ51" s="130">
        <f t="shared" si="18"/>
        <v>3286875</v>
      </c>
      <c r="AK51" s="268">
        <f>W51+Y51+AA51+AC51+AE51+AG51+AI51</f>
        <v>14.3</v>
      </c>
    </row>
    <row r="52" spans="1:37" ht="36.65" customHeight="1" thickBot="1" x14ac:dyDescent="0.35">
      <c r="A52" s="929"/>
      <c r="B52" s="930"/>
      <c r="C52" s="930"/>
      <c r="D52" s="930"/>
      <c r="E52" s="930"/>
      <c r="F52" s="930"/>
      <c r="G52" s="930"/>
      <c r="H52" s="930"/>
      <c r="I52" s="930"/>
      <c r="J52" s="930"/>
      <c r="K52" s="931"/>
      <c r="L52" s="131" t="s">
        <v>20</v>
      </c>
      <c r="M52" s="109"/>
      <c r="N52" s="109"/>
      <c r="O52" s="109"/>
      <c r="P52" s="109"/>
      <c r="Q52" s="109"/>
      <c r="R52" s="109"/>
      <c r="S52" s="109"/>
      <c r="T52" s="132">
        <f>SUM(T9:T51)</f>
        <v>3279375</v>
      </c>
      <c r="U52" s="111"/>
      <c r="V52" s="132">
        <f>SUM(V49:V51)</f>
        <v>0</v>
      </c>
      <c r="W52" s="132">
        <f t="shared" ref="W52:AI52" si="20">SUM(W49:W51)</f>
        <v>0</v>
      </c>
      <c r="X52" s="132">
        <f t="shared" si="20"/>
        <v>0</v>
      </c>
      <c r="Y52" s="132">
        <f t="shared" si="20"/>
        <v>0</v>
      </c>
      <c r="Z52" s="132">
        <f t="shared" si="20"/>
        <v>1018625</v>
      </c>
      <c r="AA52" s="132">
        <f t="shared" si="20"/>
        <v>78.95</v>
      </c>
      <c r="AB52" s="132">
        <f t="shared" si="20"/>
        <v>1019250</v>
      </c>
      <c r="AC52" s="132">
        <f t="shared" si="20"/>
        <v>80.150000000000006</v>
      </c>
      <c r="AD52" s="132">
        <f>SUM(AD49:AD51)</f>
        <v>1091500</v>
      </c>
      <c r="AE52" s="132">
        <f t="shared" si="20"/>
        <v>89.100000000000023</v>
      </c>
      <c r="AF52" s="132">
        <f>SUM(AF49:AF51)</f>
        <v>1091500</v>
      </c>
      <c r="AG52" s="132">
        <f t="shared" si="20"/>
        <v>89.100000000000009</v>
      </c>
      <c r="AH52" s="132">
        <f t="shared" si="20"/>
        <v>1091500</v>
      </c>
      <c r="AI52" s="132">
        <f t="shared" si="20"/>
        <v>89.100000000000009</v>
      </c>
      <c r="AJ52" s="133">
        <f>SUM(AJ49:AJ51)</f>
        <v>5312375</v>
      </c>
      <c r="AK52" s="269">
        <f>SUM(AK49:AK51)</f>
        <v>426.40000000000009</v>
      </c>
    </row>
    <row r="53" spans="1:37" ht="18" x14ac:dyDescent="0.4">
      <c r="J53" s="100"/>
    </row>
    <row r="54" spans="1:37" ht="18" x14ac:dyDescent="0.4">
      <c r="J54" s="100"/>
    </row>
  </sheetData>
  <mergeCells count="54"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Y7:Y8"/>
    <mergeCell ref="Z7:Z8"/>
    <mergeCell ref="AE7:AE8"/>
    <mergeCell ref="AF7:AF8"/>
    <mergeCell ref="AB5:AC6"/>
    <mergeCell ref="AD5:AE6"/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</mergeCells>
  <printOptions horizontalCentered="1" verticalCentered="1"/>
  <pageMargins left="0.25" right="0.25" top="0.75" bottom="0.75" header="0.3" footer="0.3"/>
  <pageSetup paperSize="8" scale="30" orientation="landscape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AK54"/>
  <sheetViews>
    <sheetView zoomScale="50" zoomScaleNormal="50" workbookViewId="0">
      <pane xSplit="10" ySplit="8" topLeftCell="K9" activePane="bottomRight" state="frozen"/>
      <selection pane="topRight" activeCell="K1" sqref="K1"/>
      <selection pane="bottomLeft" activeCell="A8" sqref="A8"/>
      <selection pane="bottomRight" activeCell="A14" sqref="A1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5" customWidth="1"/>
    <col min="13" max="15" width="12" style="1" customWidth="1"/>
    <col min="16" max="16" width="13" style="1" customWidth="1"/>
    <col min="17" max="18" width="12" style="1" customWidth="1"/>
    <col min="19" max="19" width="14.453125" style="7" customWidth="1"/>
    <col min="20" max="20" width="20.63281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977" t="s">
        <v>152</v>
      </c>
      <c r="B1" s="977"/>
      <c r="C1" s="977"/>
      <c r="D1" s="977"/>
      <c r="E1" s="977"/>
      <c r="F1" s="977"/>
      <c r="G1" s="977"/>
      <c r="H1" s="977"/>
      <c r="I1" s="977"/>
      <c r="J1" s="977"/>
      <c r="K1" s="977"/>
      <c r="L1" s="977"/>
      <c r="M1" s="977"/>
      <c r="N1" s="977"/>
      <c r="O1" s="977"/>
      <c r="P1" s="977"/>
      <c r="Q1" s="977"/>
      <c r="R1" s="977"/>
      <c r="S1" s="977"/>
      <c r="T1" s="977"/>
      <c r="U1" s="977"/>
      <c r="V1" s="977"/>
      <c r="W1" s="977"/>
      <c r="X1" s="977"/>
      <c r="Y1" s="977"/>
      <c r="Z1" s="977"/>
      <c r="AA1" s="977"/>
      <c r="AB1" s="977"/>
      <c r="AC1" s="977"/>
      <c r="AD1" s="977"/>
      <c r="AE1" s="977"/>
      <c r="AF1" s="977"/>
      <c r="AG1" s="977"/>
      <c r="AH1" s="977"/>
      <c r="AI1" s="977"/>
      <c r="AJ1" s="977"/>
      <c r="AK1" s="977"/>
    </row>
    <row r="2" spans="1:37" ht="46.25" customHeight="1" thickBot="1" x14ac:dyDescent="0.35">
      <c r="O2" s="101">
        <f>((3.14*2^2)/4)/2</f>
        <v>1.57</v>
      </c>
    </row>
    <row r="3" spans="1:37" ht="34.25" customHeight="1" x14ac:dyDescent="0.3">
      <c r="A3" s="978" t="s">
        <v>33</v>
      </c>
      <c r="B3" s="981" t="s">
        <v>34</v>
      </c>
      <c r="C3" s="984" t="s">
        <v>0</v>
      </c>
      <c r="D3" s="987" t="s">
        <v>150</v>
      </c>
      <c r="E3" s="987" t="s">
        <v>2</v>
      </c>
      <c r="F3" s="987" t="s">
        <v>3</v>
      </c>
      <c r="G3" s="987"/>
      <c r="H3" s="987" t="s">
        <v>147</v>
      </c>
      <c r="I3" s="987"/>
      <c r="J3" s="963" t="s">
        <v>6</v>
      </c>
      <c r="K3" s="992" t="s">
        <v>26</v>
      </c>
      <c r="L3" s="992"/>
      <c r="M3" s="968" t="s">
        <v>27</v>
      </c>
      <c r="N3" s="968" t="s">
        <v>28</v>
      </c>
      <c r="O3" s="971" t="s">
        <v>32</v>
      </c>
      <c r="P3" s="974" t="s">
        <v>139</v>
      </c>
      <c r="Q3" s="932" t="s">
        <v>143</v>
      </c>
      <c r="R3" s="932" t="s">
        <v>148</v>
      </c>
      <c r="S3" s="935" t="s">
        <v>9</v>
      </c>
      <c r="T3" s="935"/>
      <c r="U3" s="954" t="s">
        <v>151</v>
      </c>
      <c r="V3" s="937" t="s">
        <v>149</v>
      </c>
      <c r="W3" s="938"/>
      <c r="X3" s="938"/>
      <c r="Y3" s="938"/>
      <c r="Z3" s="938"/>
      <c r="AA3" s="938"/>
      <c r="AB3" s="938"/>
      <c r="AC3" s="938"/>
      <c r="AD3" s="938"/>
      <c r="AE3" s="938"/>
      <c r="AF3" s="938"/>
      <c r="AG3" s="938"/>
      <c r="AH3" s="938"/>
      <c r="AI3" s="938"/>
      <c r="AJ3" s="938"/>
      <c r="AK3" s="939"/>
    </row>
    <row r="4" spans="1:37" ht="42" customHeight="1" x14ac:dyDescent="0.3">
      <c r="A4" s="979"/>
      <c r="B4" s="982"/>
      <c r="C4" s="985"/>
      <c r="D4" s="988"/>
      <c r="E4" s="988"/>
      <c r="F4" s="988"/>
      <c r="G4" s="988"/>
      <c r="H4" s="988"/>
      <c r="I4" s="988"/>
      <c r="J4" s="964"/>
      <c r="K4" s="993"/>
      <c r="L4" s="993"/>
      <c r="M4" s="969"/>
      <c r="N4" s="969"/>
      <c r="O4" s="972"/>
      <c r="P4" s="975"/>
      <c r="Q4" s="933"/>
      <c r="R4" s="933"/>
      <c r="S4" s="936"/>
      <c r="T4" s="936"/>
      <c r="U4" s="955"/>
      <c r="V4" s="940" t="s">
        <v>21</v>
      </c>
      <c r="W4" s="940"/>
      <c r="X4" s="940"/>
      <c r="Y4" s="940"/>
      <c r="Z4" s="953" t="s">
        <v>22</v>
      </c>
      <c r="AA4" s="953"/>
      <c r="AB4" s="953"/>
      <c r="AC4" s="953"/>
      <c r="AD4" s="953"/>
      <c r="AE4" s="953"/>
      <c r="AF4" s="951" t="s">
        <v>19</v>
      </c>
      <c r="AG4" s="951"/>
      <c r="AH4" s="951"/>
      <c r="AI4" s="951"/>
      <c r="AJ4" s="951"/>
      <c r="AK4" s="952"/>
    </row>
    <row r="5" spans="1:37" ht="30" customHeight="1" x14ac:dyDescent="0.45">
      <c r="A5" s="979"/>
      <c r="B5" s="982"/>
      <c r="C5" s="985"/>
      <c r="D5" s="988"/>
      <c r="E5" s="988"/>
      <c r="F5" s="990" t="s">
        <v>4</v>
      </c>
      <c r="G5" s="990" t="s">
        <v>5</v>
      </c>
      <c r="H5" s="990" t="s">
        <v>4</v>
      </c>
      <c r="I5" s="990" t="s">
        <v>5</v>
      </c>
      <c r="J5" s="964"/>
      <c r="K5" s="966" t="s">
        <v>7</v>
      </c>
      <c r="L5" s="212" t="s">
        <v>14</v>
      </c>
      <c r="M5" s="969"/>
      <c r="N5" s="969"/>
      <c r="O5" s="972"/>
      <c r="P5" s="975"/>
      <c r="Q5" s="933"/>
      <c r="R5" s="933"/>
      <c r="S5" s="941" t="s">
        <v>10</v>
      </c>
      <c r="T5" s="943" t="s">
        <v>11</v>
      </c>
      <c r="U5" s="955"/>
      <c r="V5" s="945">
        <v>2021</v>
      </c>
      <c r="W5" s="946"/>
      <c r="X5" s="945">
        <v>2022</v>
      </c>
      <c r="Y5" s="946"/>
      <c r="Z5" s="913">
        <v>2023</v>
      </c>
      <c r="AA5" s="914"/>
      <c r="AB5" s="913">
        <v>2024</v>
      </c>
      <c r="AC5" s="914"/>
      <c r="AD5" s="913">
        <v>2025</v>
      </c>
      <c r="AE5" s="914"/>
      <c r="AF5" s="913">
        <v>2026</v>
      </c>
      <c r="AG5" s="914"/>
      <c r="AH5" s="913">
        <v>2027</v>
      </c>
      <c r="AI5" s="914"/>
      <c r="AJ5" s="959" t="s">
        <v>11</v>
      </c>
      <c r="AK5" s="960"/>
    </row>
    <row r="6" spans="1:37" ht="30" customHeight="1" x14ac:dyDescent="0.45">
      <c r="A6" s="979"/>
      <c r="B6" s="982"/>
      <c r="C6" s="985"/>
      <c r="D6" s="988"/>
      <c r="E6" s="988"/>
      <c r="F6" s="990"/>
      <c r="G6" s="990"/>
      <c r="H6" s="990"/>
      <c r="I6" s="990"/>
      <c r="J6" s="964"/>
      <c r="K6" s="966"/>
      <c r="L6" s="213" t="s">
        <v>15</v>
      </c>
      <c r="M6" s="969"/>
      <c r="N6" s="969"/>
      <c r="O6" s="972"/>
      <c r="P6" s="975"/>
      <c r="Q6" s="933"/>
      <c r="R6" s="933"/>
      <c r="S6" s="941"/>
      <c r="T6" s="943"/>
      <c r="U6" s="955"/>
      <c r="V6" s="947"/>
      <c r="W6" s="948"/>
      <c r="X6" s="947"/>
      <c r="Y6" s="948"/>
      <c r="Z6" s="915"/>
      <c r="AA6" s="916"/>
      <c r="AB6" s="915"/>
      <c r="AC6" s="916"/>
      <c r="AD6" s="915"/>
      <c r="AE6" s="916"/>
      <c r="AF6" s="915"/>
      <c r="AG6" s="916"/>
      <c r="AH6" s="915"/>
      <c r="AI6" s="916"/>
      <c r="AJ6" s="961"/>
      <c r="AK6" s="962"/>
    </row>
    <row r="7" spans="1:37" ht="30" customHeight="1" x14ac:dyDescent="0.45">
      <c r="A7" s="979"/>
      <c r="B7" s="982"/>
      <c r="C7" s="985"/>
      <c r="D7" s="988"/>
      <c r="E7" s="988"/>
      <c r="F7" s="990"/>
      <c r="G7" s="990"/>
      <c r="H7" s="990"/>
      <c r="I7" s="990"/>
      <c r="J7" s="964"/>
      <c r="K7" s="966"/>
      <c r="L7" s="214" t="s">
        <v>16</v>
      </c>
      <c r="M7" s="969"/>
      <c r="N7" s="969"/>
      <c r="O7" s="972"/>
      <c r="P7" s="975"/>
      <c r="Q7" s="933"/>
      <c r="R7" s="933"/>
      <c r="S7" s="941"/>
      <c r="T7" s="943"/>
      <c r="U7" s="955"/>
      <c r="V7" s="957" t="s">
        <v>12</v>
      </c>
      <c r="W7" s="957" t="s">
        <v>13</v>
      </c>
      <c r="X7" s="957" t="s">
        <v>12</v>
      </c>
      <c r="Y7" s="957" t="s">
        <v>13</v>
      </c>
      <c r="Z7" s="917" t="s">
        <v>12</v>
      </c>
      <c r="AA7" s="917" t="s">
        <v>13</v>
      </c>
      <c r="AB7" s="917" t="s">
        <v>12</v>
      </c>
      <c r="AC7" s="917" t="s">
        <v>13</v>
      </c>
      <c r="AD7" s="917" t="s">
        <v>12</v>
      </c>
      <c r="AE7" s="919" t="s">
        <v>13</v>
      </c>
      <c r="AF7" s="917" t="s">
        <v>12</v>
      </c>
      <c r="AG7" s="919" t="s">
        <v>13</v>
      </c>
      <c r="AH7" s="917" t="s">
        <v>12</v>
      </c>
      <c r="AI7" s="919" t="s">
        <v>13</v>
      </c>
      <c r="AJ7" s="921" t="s">
        <v>12</v>
      </c>
      <c r="AK7" s="949" t="s">
        <v>13</v>
      </c>
    </row>
    <row r="8" spans="1:37" ht="30" customHeight="1" thickBot="1" x14ac:dyDescent="0.5">
      <c r="A8" s="980"/>
      <c r="B8" s="983"/>
      <c r="C8" s="986"/>
      <c r="D8" s="989"/>
      <c r="E8" s="989"/>
      <c r="F8" s="991"/>
      <c r="G8" s="991"/>
      <c r="H8" s="991"/>
      <c r="I8" s="991"/>
      <c r="J8" s="965"/>
      <c r="K8" s="967"/>
      <c r="L8" s="215"/>
      <c r="M8" s="970"/>
      <c r="N8" s="970"/>
      <c r="O8" s="973"/>
      <c r="P8" s="976"/>
      <c r="Q8" s="934"/>
      <c r="R8" s="934"/>
      <c r="S8" s="942"/>
      <c r="T8" s="944"/>
      <c r="U8" s="956"/>
      <c r="V8" s="958"/>
      <c r="W8" s="958"/>
      <c r="X8" s="958"/>
      <c r="Y8" s="958"/>
      <c r="Z8" s="918"/>
      <c r="AA8" s="918"/>
      <c r="AB8" s="918"/>
      <c r="AC8" s="918"/>
      <c r="AD8" s="918"/>
      <c r="AE8" s="920"/>
      <c r="AF8" s="918"/>
      <c r="AG8" s="920"/>
      <c r="AH8" s="918"/>
      <c r="AI8" s="920"/>
      <c r="AJ8" s="922"/>
      <c r="AK8" s="950"/>
    </row>
    <row r="9" spans="1:37" ht="48.65" customHeight="1" thickBot="1" x14ac:dyDescent="0.35">
      <c r="A9" s="263">
        <v>1</v>
      </c>
      <c r="B9" s="220" t="s">
        <v>35</v>
      </c>
      <c r="C9" s="221" t="s">
        <v>43</v>
      </c>
      <c r="D9" s="221" t="s">
        <v>47</v>
      </c>
      <c r="E9" s="222" t="s">
        <v>63</v>
      </c>
      <c r="F9" s="264"/>
      <c r="G9" s="223"/>
      <c r="H9" s="223"/>
      <c r="I9" s="223"/>
      <c r="J9" s="220">
        <v>7</v>
      </c>
      <c r="K9" s="221" t="s">
        <v>82</v>
      </c>
      <c r="L9" s="265" t="s">
        <v>85</v>
      </c>
      <c r="M9" s="220">
        <f>3376+1819</f>
        <v>5195</v>
      </c>
      <c r="N9" s="220">
        <f>22.73+23.09</f>
        <v>45.82</v>
      </c>
      <c r="O9" s="224">
        <f>(J9*2)+$O$2</f>
        <v>15.57</v>
      </c>
      <c r="P9" s="225">
        <f>(M9/N9)*O9</f>
        <v>1765.3022697512006</v>
      </c>
      <c r="Q9" s="226"/>
      <c r="R9" s="227"/>
      <c r="S9" s="228">
        <v>5000</v>
      </c>
      <c r="T9" s="221"/>
      <c r="U9" s="229"/>
      <c r="V9" s="220"/>
      <c r="W9" s="230"/>
      <c r="X9" s="220"/>
      <c r="Y9" s="230"/>
      <c r="Z9" s="306">
        <f>5000*AA9</f>
        <v>35000</v>
      </c>
      <c r="AA9" s="232">
        <f t="shared" ref="AA9:AA25" si="0">J9</f>
        <v>7</v>
      </c>
      <c r="AB9" s="231">
        <f>5000*AC9</f>
        <v>35000</v>
      </c>
      <c r="AC9" s="232">
        <f>AA9</f>
        <v>7</v>
      </c>
      <c r="AD9" s="231">
        <f>5000*AE9</f>
        <v>35000</v>
      </c>
      <c r="AE9" s="233">
        <f>AC9</f>
        <v>7</v>
      </c>
      <c r="AF9" s="231">
        <f>5000*AG9</f>
        <v>35000</v>
      </c>
      <c r="AG9" s="233">
        <f>AE9</f>
        <v>7</v>
      </c>
      <c r="AH9" s="231">
        <f>5000*AI9</f>
        <v>35000</v>
      </c>
      <c r="AI9" s="236">
        <f>AG9</f>
        <v>7</v>
      </c>
      <c r="AJ9" s="237"/>
      <c r="AK9" s="238"/>
    </row>
    <row r="10" spans="1:37" ht="48.65" customHeight="1" thickBot="1" x14ac:dyDescent="0.35">
      <c r="A10" s="140">
        <v>2</v>
      </c>
      <c r="B10" s="141" t="s">
        <v>36</v>
      </c>
      <c r="C10" s="142" t="s">
        <v>43</v>
      </c>
      <c r="D10" s="142" t="s">
        <v>48</v>
      </c>
      <c r="E10" s="143" t="s">
        <v>64</v>
      </c>
      <c r="F10" s="144"/>
      <c r="G10" s="144"/>
      <c r="H10" s="144"/>
      <c r="I10" s="144"/>
      <c r="J10" s="145">
        <v>6.5</v>
      </c>
      <c r="K10" s="142" t="s">
        <v>82</v>
      </c>
      <c r="L10" s="146" t="s">
        <v>85</v>
      </c>
      <c r="M10" s="145">
        <f>3376+1819+952</f>
        <v>6147</v>
      </c>
      <c r="N10" s="145">
        <f>22.73+23.09+11.4</f>
        <v>57.22</v>
      </c>
      <c r="O10" s="147">
        <f t="shared" ref="O10:O25" si="1">(J10*2)+$O$2</f>
        <v>14.57</v>
      </c>
      <c r="P10" s="135">
        <f t="shared" ref="P10:P25" si="2">(M10/N10)*O10</f>
        <v>1565.218280321566</v>
      </c>
      <c r="Q10" s="148"/>
      <c r="R10" s="149"/>
      <c r="S10" s="136">
        <v>5000</v>
      </c>
      <c r="T10" s="142"/>
      <c r="U10" s="137"/>
      <c r="V10" s="145"/>
      <c r="W10" s="217"/>
      <c r="X10" s="145"/>
      <c r="Y10" s="217"/>
      <c r="Z10" s="270">
        <f t="shared" ref="Z10:Z25" si="3">5000*AA10</f>
        <v>32500</v>
      </c>
      <c r="AA10" s="150">
        <f t="shared" si="0"/>
        <v>6.5</v>
      </c>
      <c r="AB10" s="138">
        <f t="shared" ref="AB10:AB25" si="4">5000*AC10</f>
        <v>32500</v>
      </c>
      <c r="AC10" s="150">
        <f t="shared" ref="AC10:AC25" si="5">AA10</f>
        <v>6.5</v>
      </c>
      <c r="AD10" s="138">
        <f t="shared" ref="AD10:AD25" si="6">5000*AE10</f>
        <v>32500</v>
      </c>
      <c r="AE10" s="151">
        <f t="shared" ref="AE10:AE25" si="7">AC10</f>
        <v>6.5</v>
      </c>
      <c r="AF10" s="231">
        <f t="shared" ref="AF10:AF25" si="8">5000*AG10</f>
        <v>32500</v>
      </c>
      <c r="AG10" s="151">
        <f t="shared" ref="AG10:AG25" si="9">AE10</f>
        <v>6.5</v>
      </c>
      <c r="AH10" s="138">
        <f t="shared" ref="AH10:AH25" si="10">5000*AI10</f>
        <v>32500</v>
      </c>
      <c r="AI10" s="153">
        <f t="shared" ref="AI10:AI25" si="11">AG10</f>
        <v>6.5</v>
      </c>
      <c r="AJ10" s="154"/>
      <c r="AK10" s="239"/>
    </row>
    <row r="11" spans="1:37" ht="48.65" customHeight="1" thickBot="1" x14ac:dyDescent="0.35">
      <c r="A11" s="155">
        <v>3</v>
      </c>
      <c r="B11" s="141" t="s">
        <v>37</v>
      </c>
      <c r="C11" s="142" t="s">
        <v>44</v>
      </c>
      <c r="D11" s="142" t="s">
        <v>49</v>
      </c>
      <c r="E11" s="143" t="s">
        <v>65</v>
      </c>
      <c r="F11" s="144"/>
      <c r="G11" s="144"/>
      <c r="H11" s="144"/>
      <c r="I11" s="144"/>
      <c r="J11" s="145">
        <v>10.5</v>
      </c>
      <c r="K11" s="142" t="s">
        <v>82</v>
      </c>
      <c r="L11" s="146" t="s">
        <v>85</v>
      </c>
      <c r="M11" s="145">
        <v>1077</v>
      </c>
      <c r="N11" s="145">
        <v>42.11</v>
      </c>
      <c r="O11" s="147">
        <f t="shared" si="1"/>
        <v>22.57</v>
      </c>
      <c r="P11" s="135">
        <f t="shared" si="2"/>
        <v>577.24744716219425</v>
      </c>
      <c r="Q11" s="148"/>
      <c r="R11" s="149"/>
      <c r="S11" s="136">
        <v>5000</v>
      </c>
      <c r="T11" s="142"/>
      <c r="U11" s="137"/>
      <c r="V11" s="145"/>
      <c r="W11" s="217"/>
      <c r="X11" s="145"/>
      <c r="Y11" s="217"/>
      <c r="Z11" s="270">
        <f t="shared" si="3"/>
        <v>52500</v>
      </c>
      <c r="AA11" s="150">
        <f t="shared" si="0"/>
        <v>10.5</v>
      </c>
      <c r="AB11" s="138">
        <f t="shared" si="4"/>
        <v>52500</v>
      </c>
      <c r="AC11" s="150">
        <f t="shared" si="5"/>
        <v>10.5</v>
      </c>
      <c r="AD11" s="138">
        <f t="shared" si="6"/>
        <v>52500</v>
      </c>
      <c r="AE11" s="151">
        <f t="shared" si="7"/>
        <v>10.5</v>
      </c>
      <c r="AF11" s="231">
        <f t="shared" si="8"/>
        <v>52500</v>
      </c>
      <c r="AG11" s="151">
        <f t="shared" si="9"/>
        <v>10.5</v>
      </c>
      <c r="AH11" s="138">
        <f t="shared" si="10"/>
        <v>52500</v>
      </c>
      <c r="AI11" s="153">
        <f t="shared" si="11"/>
        <v>10.5</v>
      </c>
      <c r="AJ11" s="154"/>
      <c r="AK11" s="239"/>
    </row>
    <row r="12" spans="1:37" ht="48.65" customHeight="1" thickBot="1" x14ac:dyDescent="0.35">
      <c r="A12" s="263">
        <v>4</v>
      </c>
      <c r="B12" s="145" t="s">
        <v>38</v>
      </c>
      <c r="C12" s="142" t="s">
        <v>45</v>
      </c>
      <c r="D12" s="142" t="s">
        <v>50</v>
      </c>
      <c r="E12" s="143" t="s">
        <v>66</v>
      </c>
      <c r="F12" s="144"/>
      <c r="G12" s="144"/>
      <c r="H12" s="144"/>
      <c r="I12" s="144"/>
      <c r="J12" s="145">
        <v>2.5</v>
      </c>
      <c r="K12" s="142" t="s">
        <v>137</v>
      </c>
      <c r="L12" s="156" t="s">
        <v>8</v>
      </c>
      <c r="M12" s="145">
        <f>15935+3078</f>
        <v>19013</v>
      </c>
      <c r="N12" s="145">
        <f>104.77+37.12</f>
        <v>141.88999999999999</v>
      </c>
      <c r="O12" s="147">
        <f t="shared" si="1"/>
        <v>6.57</v>
      </c>
      <c r="P12" s="135">
        <f t="shared" si="2"/>
        <v>880.36796109662419</v>
      </c>
      <c r="Q12" s="148"/>
      <c r="R12" s="149"/>
      <c r="S12" s="136">
        <v>5000</v>
      </c>
      <c r="T12" s="142"/>
      <c r="U12" s="137"/>
      <c r="V12" s="145"/>
      <c r="W12" s="217"/>
      <c r="X12" s="145"/>
      <c r="Y12" s="217"/>
      <c r="Z12" s="270">
        <f t="shared" si="3"/>
        <v>12500</v>
      </c>
      <c r="AA12" s="150">
        <f t="shared" si="0"/>
        <v>2.5</v>
      </c>
      <c r="AB12" s="138">
        <f t="shared" si="4"/>
        <v>12500</v>
      </c>
      <c r="AC12" s="150">
        <f t="shared" si="5"/>
        <v>2.5</v>
      </c>
      <c r="AD12" s="138">
        <f t="shared" si="6"/>
        <v>12500</v>
      </c>
      <c r="AE12" s="151">
        <f t="shared" si="7"/>
        <v>2.5</v>
      </c>
      <c r="AF12" s="231">
        <f t="shared" si="8"/>
        <v>12500</v>
      </c>
      <c r="AG12" s="151">
        <f t="shared" si="9"/>
        <v>2.5</v>
      </c>
      <c r="AH12" s="138">
        <f t="shared" si="10"/>
        <v>12500</v>
      </c>
      <c r="AI12" s="153">
        <f t="shared" si="11"/>
        <v>2.5</v>
      </c>
      <c r="AJ12" s="154"/>
      <c r="AK12" s="239"/>
    </row>
    <row r="13" spans="1:37" ht="48.65" customHeight="1" thickBot="1" x14ac:dyDescent="0.35">
      <c r="A13" s="140">
        <v>5</v>
      </c>
      <c r="B13" s="145" t="s">
        <v>38</v>
      </c>
      <c r="C13" s="142" t="s">
        <v>45</v>
      </c>
      <c r="D13" s="142" t="s">
        <v>51</v>
      </c>
      <c r="E13" s="143" t="s">
        <v>67</v>
      </c>
      <c r="F13" s="144"/>
      <c r="G13" s="144"/>
      <c r="H13" s="144"/>
      <c r="I13" s="144"/>
      <c r="J13" s="145">
        <v>1</v>
      </c>
      <c r="K13" s="142" t="s">
        <v>83</v>
      </c>
      <c r="L13" s="156" t="s">
        <v>8</v>
      </c>
      <c r="M13" s="145">
        <f>15935+3078</f>
        <v>19013</v>
      </c>
      <c r="N13" s="145">
        <f>104.77+37.12</f>
        <v>141.88999999999999</v>
      </c>
      <c r="O13" s="147">
        <f t="shared" si="1"/>
        <v>3.5700000000000003</v>
      </c>
      <c r="P13" s="135">
        <f t="shared" si="2"/>
        <v>478.37345831277759</v>
      </c>
      <c r="Q13" s="148"/>
      <c r="R13" s="149"/>
      <c r="S13" s="136">
        <v>5000</v>
      </c>
      <c r="T13" s="142"/>
      <c r="U13" s="137"/>
      <c r="V13" s="145"/>
      <c r="W13" s="217"/>
      <c r="X13" s="145"/>
      <c r="Y13" s="217"/>
      <c r="Z13" s="270">
        <f t="shared" si="3"/>
        <v>5000</v>
      </c>
      <c r="AA13" s="150">
        <f t="shared" si="0"/>
        <v>1</v>
      </c>
      <c r="AB13" s="138">
        <f t="shared" si="4"/>
        <v>5000</v>
      </c>
      <c r="AC13" s="150">
        <f t="shared" si="5"/>
        <v>1</v>
      </c>
      <c r="AD13" s="138">
        <f t="shared" si="6"/>
        <v>5000</v>
      </c>
      <c r="AE13" s="151">
        <f t="shared" si="7"/>
        <v>1</v>
      </c>
      <c r="AF13" s="231">
        <f t="shared" si="8"/>
        <v>5000</v>
      </c>
      <c r="AG13" s="151">
        <f t="shared" si="9"/>
        <v>1</v>
      </c>
      <c r="AH13" s="138">
        <f t="shared" si="10"/>
        <v>5000</v>
      </c>
      <c r="AI13" s="153">
        <f t="shared" si="11"/>
        <v>1</v>
      </c>
      <c r="AJ13" s="154"/>
      <c r="AK13" s="239"/>
    </row>
    <row r="14" spans="1:37" ht="48.65" customHeight="1" thickBot="1" x14ac:dyDescent="0.35">
      <c r="A14" s="155">
        <v>6</v>
      </c>
      <c r="B14" s="145" t="s">
        <v>39</v>
      </c>
      <c r="C14" s="142" t="s">
        <v>45</v>
      </c>
      <c r="D14" s="142" t="s">
        <v>52</v>
      </c>
      <c r="E14" s="143" t="s">
        <v>68</v>
      </c>
      <c r="F14" s="144"/>
      <c r="G14" s="144"/>
      <c r="H14" s="144"/>
      <c r="I14" s="144"/>
      <c r="J14" s="145">
        <v>7</v>
      </c>
      <c r="K14" s="142" t="s">
        <v>83</v>
      </c>
      <c r="L14" s="156" t="s">
        <v>8</v>
      </c>
      <c r="M14" s="145">
        <f>15935+2785</f>
        <v>18720</v>
      </c>
      <c r="N14" s="145">
        <f>104.77+76.28</f>
        <v>181.05</v>
      </c>
      <c r="O14" s="147">
        <f t="shared" si="1"/>
        <v>15.57</v>
      </c>
      <c r="P14" s="135">
        <f t="shared" si="2"/>
        <v>1609.8889809444904</v>
      </c>
      <c r="Q14" s="148"/>
      <c r="R14" s="149"/>
      <c r="S14" s="136">
        <v>5000</v>
      </c>
      <c r="T14" s="142"/>
      <c r="U14" s="137"/>
      <c r="V14" s="145"/>
      <c r="W14" s="217"/>
      <c r="X14" s="145"/>
      <c r="Y14" s="217"/>
      <c r="Z14" s="270">
        <f t="shared" si="3"/>
        <v>35000</v>
      </c>
      <c r="AA14" s="150">
        <f t="shared" si="0"/>
        <v>7</v>
      </c>
      <c r="AB14" s="138">
        <f t="shared" si="4"/>
        <v>35000</v>
      </c>
      <c r="AC14" s="150">
        <f t="shared" si="5"/>
        <v>7</v>
      </c>
      <c r="AD14" s="138">
        <f t="shared" si="6"/>
        <v>35000</v>
      </c>
      <c r="AE14" s="151">
        <f t="shared" si="7"/>
        <v>7</v>
      </c>
      <c r="AF14" s="231">
        <f t="shared" si="8"/>
        <v>35000</v>
      </c>
      <c r="AG14" s="151">
        <f t="shared" si="9"/>
        <v>7</v>
      </c>
      <c r="AH14" s="138">
        <f t="shared" si="10"/>
        <v>35000</v>
      </c>
      <c r="AI14" s="153">
        <f t="shared" si="11"/>
        <v>7</v>
      </c>
      <c r="AJ14" s="154"/>
      <c r="AK14" s="239"/>
    </row>
    <row r="15" spans="1:37" ht="48.65" customHeight="1" thickBot="1" x14ac:dyDescent="0.35">
      <c r="A15" s="263">
        <v>7</v>
      </c>
      <c r="B15" s="145" t="s">
        <v>40</v>
      </c>
      <c r="C15" s="142" t="s">
        <v>45</v>
      </c>
      <c r="D15" s="142" t="s">
        <v>53</v>
      </c>
      <c r="E15" s="143" t="s">
        <v>69</v>
      </c>
      <c r="F15" s="144"/>
      <c r="G15" s="144"/>
      <c r="H15" s="144"/>
      <c r="I15" s="144"/>
      <c r="J15" s="145">
        <v>2.65</v>
      </c>
      <c r="K15" s="142" t="s">
        <v>82</v>
      </c>
      <c r="L15" s="146" t="s">
        <v>85</v>
      </c>
      <c r="M15" s="145">
        <f>1222+4111</f>
        <v>5333</v>
      </c>
      <c r="N15" s="145">
        <f>21.93+43.4</f>
        <v>65.33</v>
      </c>
      <c r="O15" s="147">
        <f t="shared" si="1"/>
        <v>6.87</v>
      </c>
      <c r="P15" s="135">
        <f t="shared" si="2"/>
        <v>560.80988825960503</v>
      </c>
      <c r="Q15" s="148"/>
      <c r="R15" s="149"/>
      <c r="S15" s="136">
        <v>5000</v>
      </c>
      <c r="T15" s="142"/>
      <c r="U15" s="137"/>
      <c r="V15" s="145"/>
      <c r="W15" s="217"/>
      <c r="X15" s="145"/>
      <c r="Y15" s="217"/>
      <c r="Z15" s="270">
        <f t="shared" si="3"/>
        <v>13250</v>
      </c>
      <c r="AA15" s="150">
        <f t="shared" si="0"/>
        <v>2.65</v>
      </c>
      <c r="AB15" s="138">
        <f t="shared" si="4"/>
        <v>13250</v>
      </c>
      <c r="AC15" s="150">
        <f t="shared" si="5"/>
        <v>2.65</v>
      </c>
      <c r="AD15" s="138">
        <f t="shared" si="6"/>
        <v>13250</v>
      </c>
      <c r="AE15" s="151">
        <f t="shared" si="7"/>
        <v>2.65</v>
      </c>
      <c r="AF15" s="231">
        <f t="shared" si="8"/>
        <v>13250</v>
      </c>
      <c r="AG15" s="151">
        <f t="shared" si="9"/>
        <v>2.65</v>
      </c>
      <c r="AH15" s="138">
        <f t="shared" si="10"/>
        <v>13250</v>
      </c>
      <c r="AI15" s="153">
        <f t="shared" si="11"/>
        <v>2.65</v>
      </c>
      <c r="AJ15" s="154"/>
      <c r="AK15" s="239"/>
    </row>
    <row r="16" spans="1:37" ht="48.65" customHeight="1" thickBot="1" x14ac:dyDescent="0.35">
      <c r="A16" s="140">
        <v>8</v>
      </c>
      <c r="B16" s="145" t="s">
        <v>41</v>
      </c>
      <c r="C16" s="142" t="s">
        <v>46</v>
      </c>
      <c r="D16" s="142" t="s">
        <v>54</v>
      </c>
      <c r="E16" s="143" t="s">
        <v>70</v>
      </c>
      <c r="F16" s="144"/>
      <c r="G16" s="144"/>
      <c r="H16" s="144"/>
      <c r="I16" s="144"/>
      <c r="J16" s="145">
        <v>2.7</v>
      </c>
      <c r="K16" s="142" t="s">
        <v>82</v>
      </c>
      <c r="L16" s="156" t="s">
        <v>8</v>
      </c>
      <c r="M16" s="145">
        <v>2049</v>
      </c>
      <c r="N16" s="145">
        <v>71.5</v>
      </c>
      <c r="O16" s="147">
        <f t="shared" si="1"/>
        <v>6.9700000000000006</v>
      </c>
      <c r="P16" s="135">
        <f t="shared" si="2"/>
        <v>199.74167832167834</v>
      </c>
      <c r="Q16" s="148"/>
      <c r="R16" s="149"/>
      <c r="S16" s="136">
        <v>5000</v>
      </c>
      <c r="T16" s="157"/>
      <c r="U16" s="137"/>
      <c r="V16" s="145"/>
      <c r="W16" s="217"/>
      <c r="X16" s="145"/>
      <c r="Y16" s="217"/>
      <c r="Z16" s="270">
        <f t="shared" si="3"/>
        <v>13500</v>
      </c>
      <c r="AA16" s="150">
        <f t="shared" si="0"/>
        <v>2.7</v>
      </c>
      <c r="AB16" s="138">
        <f t="shared" si="4"/>
        <v>13500</v>
      </c>
      <c r="AC16" s="150">
        <f t="shared" si="5"/>
        <v>2.7</v>
      </c>
      <c r="AD16" s="138">
        <f t="shared" si="6"/>
        <v>13500</v>
      </c>
      <c r="AE16" s="151">
        <f t="shared" si="7"/>
        <v>2.7</v>
      </c>
      <c r="AF16" s="231">
        <f t="shared" si="8"/>
        <v>13500</v>
      </c>
      <c r="AG16" s="151">
        <f t="shared" si="9"/>
        <v>2.7</v>
      </c>
      <c r="AH16" s="138">
        <f t="shared" si="10"/>
        <v>13500</v>
      </c>
      <c r="AI16" s="153">
        <f t="shared" si="11"/>
        <v>2.7</v>
      </c>
      <c r="AJ16" s="154"/>
      <c r="AK16" s="239"/>
    </row>
    <row r="17" spans="1:37" ht="48.65" customHeight="1" thickBot="1" x14ac:dyDescent="0.35">
      <c r="A17" s="155">
        <v>9</v>
      </c>
      <c r="B17" s="145" t="s">
        <v>41</v>
      </c>
      <c r="C17" s="142" t="s">
        <v>46</v>
      </c>
      <c r="D17" s="142" t="s">
        <v>55</v>
      </c>
      <c r="E17" s="143" t="s">
        <v>71</v>
      </c>
      <c r="F17" s="142"/>
      <c r="G17" s="142"/>
      <c r="H17" s="142"/>
      <c r="I17" s="142"/>
      <c r="J17" s="145">
        <v>2.7</v>
      </c>
      <c r="K17" s="142" t="s">
        <v>82</v>
      </c>
      <c r="L17" s="156" t="s">
        <v>8</v>
      </c>
      <c r="M17" s="145">
        <f>2049+2363</f>
        <v>4412</v>
      </c>
      <c r="N17" s="145">
        <f>71.5+56.75</f>
        <v>128.25</v>
      </c>
      <c r="O17" s="147">
        <f t="shared" si="1"/>
        <v>6.9700000000000006</v>
      </c>
      <c r="P17" s="135">
        <f t="shared" si="2"/>
        <v>239.7788693957115</v>
      </c>
      <c r="Q17" s="148"/>
      <c r="R17" s="149"/>
      <c r="S17" s="136">
        <v>5000</v>
      </c>
      <c r="T17" s="157"/>
      <c r="U17" s="137"/>
      <c r="V17" s="145"/>
      <c r="W17" s="217"/>
      <c r="X17" s="145"/>
      <c r="Y17" s="217"/>
      <c r="Z17" s="270">
        <f t="shared" si="3"/>
        <v>13500</v>
      </c>
      <c r="AA17" s="150">
        <f t="shared" si="0"/>
        <v>2.7</v>
      </c>
      <c r="AB17" s="138">
        <f t="shared" si="4"/>
        <v>13500</v>
      </c>
      <c r="AC17" s="150">
        <f t="shared" si="5"/>
        <v>2.7</v>
      </c>
      <c r="AD17" s="138">
        <f t="shared" si="6"/>
        <v>13500</v>
      </c>
      <c r="AE17" s="151">
        <f t="shared" si="7"/>
        <v>2.7</v>
      </c>
      <c r="AF17" s="231">
        <f t="shared" si="8"/>
        <v>13500</v>
      </c>
      <c r="AG17" s="151">
        <f t="shared" si="9"/>
        <v>2.7</v>
      </c>
      <c r="AH17" s="138">
        <f t="shared" si="10"/>
        <v>13500</v>
      </c>
      <c r="AI17" s="153">
        <f t="shared" si="11"/>
        <v>2.7</v>
      </c>
      <c r="AJ17" s="154"/>
      <c r="AK17" s="239"/>
    </row>
    <row r="18" spans="1:37" ht="48.65" customHeight="1" thickBot="1" x14ac:dyDescent="0.35">
      <c r="A18" s="263">
        <v>10</v>
      </c>
      <c r="B18" s="141" t="s">
        <v>41</v>
      </c>
      <c r="C18" s="142" t="s">
        <v>46</v>
      </c>
      <c r="D18" s="142" t="s">
        <v>55</v>
      </c>
      <c r="E18" s="158" t="s">
        <v>72</v>
      </c>
      <c r="F18" s="144"/>
      <c r="G18" s="144"/>
      <c r="H18" s="144"/>
      <c r="I18" s="144"/>
      <c r="J18" s="145">
        <v>2.2999999999999998</v>
      </c>
      <c r="K18" s="142" t="s">
        <v>82</v>
      </c>
      <c r="L18" s="156" t="s">
        <v>8</v>
      </c>
      <c r="M18" s="145">
        <f>2049+2363</f>
        <v>4412</v>
      </c>
      <c r="N18" s="145">
        <f>71.5+56.75</f>
        <v>128.25</v>
      </c>
      <c r="O18" s="147">
        <f t="shared" si="1"/>
        <v>6.17</v>
      </c>
      <c r="P18" s="135">
        <f t="shared" si="2"/>
        <v>212.25762183235867</v>
      </c>
      <c r="Q18" s="148"/>
      <c r="R18" s="149"/>
      <c r="S18" s="136">
        <v>5000</v>
      </c>
      <c r="T18" s="142"/>
      <c r="U18" s="137"/>
      <c r="V18" s="145"/>
      <c r="W18" s="217"/>
      <c r="X18" s="145"/>
      <c r="Y18" s="217"/>
      <c r="Z18" s="270">
        <f t="shared" si="3"/>
        <v>11500</v>
      </c>
      <c r="AA18" s="150">
        <f t="shared" si="0"/>
        <v>2.2999999999999998</v>
      </c>
      <c r="AB18" s="138">
        <f t="shared" si="4"/>
        <v>11500</v>
      </c>
      <c r="AC18" s="150">
        <f t="shared" si="5"/>
        <v>2.2999999999999998</v>
      </c>
      <c r="AD18" s="138">
        <f t="shared" si="6"/>
        <v>11500</v>
      </c>
      <c r="AE18" s="151">
        <f t="shared" si="7"/>
        <v>2.2999999999999998</v>
      </c>
      <c r="AF18" s="231">
        <f t="shared" si="8"/>
        <v>11500</v>
      </c>
      <c r="AG18" s="151">
        <f t="shared" si="9"/>
        <v>2.2999999999999998</v>
      </c>
      <c r="AH18" s="138">
        <f t="shared" si="10"/>
        <v>11500</v>
      </c>
      <c r="AI18" s="153">
        <f t="shared" si="11"/>
        <v>2.2999999999999998</v>
      </c>
      <c r="AJ18" s="154"/>
      <c r="AK18" s="239"/>
    </row>
    <row r="19" spans="1:37" ht="48.65" customHeight="1" thickBot="1" x14ac:dyDescent="0.35">
      <c r="A19" s="140">
        <v>11</v>
      </c>
      <c r="B19" s="145" t="s">
        <v>41</v>
      </c>
      <c r="C19" s="142" t="s">
        <v>46</v>
      </c>
      <c r="D19" s="142" t="s">
        <v>56</v>
      </c>
      <c r="E19" s="159" t="s">
        <v>73</v>
      </c>
      <c r="F19" s="142"/>
      <c r="G19" s="142"/>
      <c r="H19" s="142"/>
      <c r="I19" s="142"/>
      <c r="J19" s="145">
        <v>2</v>
      </c>
      <c r="K19" s="142" t="s">
        <v>82</v>
      </c>
      <c r="L19" s="156" t="s">
        <v>8</v>
      </c>
      <c r="M19" s="145">
        <v>2049</v>
      </c>
      <c r="N19" s="145">
        <v>71.5</v>
      </c>
      <c r="O19" s="147">
        <f t="shared" si="1"/>
        <v>5.57</v>
      </c>
      <c r="P19" s="135">
        <f t="shared" si="2"/>
        <v>159.6213986013986</v>
      </c>
      <c r="Q19" s="148"/>
      <c r="R19" s="149"/>
      <c r="S19" s="136">
        <v>5000</v>
      </c>
      <c r="T19" s="142"/>
      <c r="U19" s="137"/>
      <c r="V19" s="145"/>
      <c r="W19" s="217"/>
      <c r="X19" s="145"/>
      <c r="Y19" s="217"/>
      <c r="Z19" s="270">
        <f t="shared" si="3"/>
        <v>10000</v>
      </c>
      <c r="AA19" s="150">
        <f t="shared" si="0"/>
        <v>2</v>
      </c>
      <c r="AB19" s="138">
        <f t="shared" si="4"/>
        <v>10000</v>
      </c>
      <c r="AC19" s="150">
        <f t="shared" si="5"/>
        <v>2</v>
      </c>
      <c r="AD19" s="138">
        <f t="shared" si="6"/>
        <v>10000</v>
      </c>
      <c r="AE19" s="151">
        <f t="shared" si="7"/>
        <v>2</v>
      </c>
      <c r="AF19" s="231">
        <f t="shared" si="8"/>
        <v>10000</v>
      </c>
      <c r="AG19" s="151">
        <f t="shared" si="9"/>
        <v>2</v>
      </c>
      <c r="AH19" s="138">
        <f t="shared" si="10"/>
        <v>10000</v>
      </c>
      <c r="AI19" s="153">
        <f t="shared" si="11"/>
        <v>2</v>
      </c>
      <c r="AJ19" s="154"/>
      <c r="AK19" s="239"/>
    </row>
    <row r="20" spans="1:37" ht="48.65" customHeight="1" thickBot="1" x14ac:dyDescent="0.35">
      <c r="A20" s="155">
        <v>12</v>
      </c>
      <c r="B20" s="160" t="s">
        <v>42</v>
      </c>
      <c r="C20" s="142" t="s">
        <v>45</v>
      </c>
      <c r="D20" s="142" t="s">
        <v>58</v>
      </c>
      <c r="E20" s="161" t="s">
        <v>76</v>
      </c>
      <c r="F20" s="144"/>
      <c r="G20" s="162"/>
      <c r="H20" s="162"/>
      <c r="I20" s="162"/>
      <c r="J20" s="163">
        <v>2.7</v>
      </c>
      <c r="K20" s="142" t="s">
        <v>82</v>
      </c>
      <c r="L20" s="164" t="s">
        <v>25</v>
      </c>
      <c r="M20" s="134">
        <v>4111</v>
      </c>
      <c r="N20" s="145">
        <v>43.4</v>
      </c>
      <c r="O20" s="147">
        <f t="shared" si="1"/>
        <v>6.9700000000000006</v>
      </c>
      <c r="P20" s="135">
        <f t="shared" si="2"/>
        <v>660.22281105990794</v>
      </c>
      <c r="Q20" s="148"/>
      <c r="R20" s="149"/>
      <c r="S20" s="136">
        <v>5000</v>
      </c>
      <c r="T20" s="142"/>
      <c r="U20" s="165"/>
      <c r="V20" s="148"/>
      <c r="W20" s="165"/>
      <c r="X20" s="148"/>
      <c r="Y20" s="182"/>
      <c r="Z20" s="270">
        <f t="shared" si="3"/>
        <v>13500</v>
      </c>
      <c r="AA20" s="150">
        <f t="shared" si="0"/>
        <v>2.7</v>
      </c>
      <c r="AB20" s="138">
        <f t="shared" si="4"/>
        <v>13500</v>
      </c>
      <c r="AC20" s="150">
        <f t="shared" si="5"/>
        <v>2.7</v>
      </c>
      <c r="AD20" s="138">
        <f t="shared" si="6"/>
        <v>13500</v>
      </c>
      <c r="AE20" s="151">
        <f t="shared" si="7"/>
        <v>2.7</v>
      </c>
      <c r="AF20" s="231">
        <f t="shared" si="8"/>
        <v>13500</v>
      </c>
      <c r="AG20" s="151">
        <f t="shared" si="9"/>
        <v>2.7</v>
      </c>
      <c r="AH20" s="138">
        <f t="shared" si="10"/>
        <v>13500</v>
      </c>
      <c r="AI20" s="153">
        <f t="shared" si="11"/>
        <v>2.7</v>
      </c>
      <c r="AJ20" s="154"/>
      <c r="AK20" s="239"/>
    </row>
    <row r="21" spans="1:37" ht="48.65" customHeight="1" thickBot="1" x14ac:dyDescent="0.35">
      <c r="A21" s="263">
        <v>13</v>
      </c>
      <c r="B21" s="160" t="s">
        <v>42</v>
      </c>
      <c r="C21" s="142" t="s">
        <v>46</v>
      </c>
      <c r="D21" s="142" t="s">
        <v>59</v>
      </c>
      <c r="E21" s="161" t="s">
        <v>77</v>
      </c>
      <c r="F21" s="144"/>
      <c r="G21" s="144"/>
      <c r="H21" s="144"/>
      <c r="I21" s="144"/>
      <c r="J21" s="163">
        <v>1.7</v>
      </c>
      <c r="K21" s="142" t="s">
        <v>82</v>
      </c>
      <c r="L21" s="164" t="s">
        <v>25</v>
      </c>
      <c r="M21" s="134">
        <f>2049+2363</f>
        <v>4412</v>
      </c>
      <c r="N21" s="145">
        <f>71.5+56.75</f>
        <v>128.25</v>
      </c>
      <c r="O21" s="147">
        <f t="shared" si="1"/>
        <v>4.97</v>
      </c>
      <c r="P21" s="135">
        <f t="shared" si="2"/>
        <v>170.97575048732941</v>
      </c>
      <c r="Q21" s="148"/>
      <c r="R21" s="149"/>
      <c r="S21" s="136">
        <v>5000</v>
      </c>
      <c r="T21" s="142"/>
      <c r="U21" s="165"/>
      <c r="V21" s="148"/>
      <c r="W21" s="165"/>
      <c r="X21" s="148"/>
      <c r="Y21" s="182"/>
      <c r="Z21" s="270">
        <f t="shared" si="3"/>
        <v>8500</v>
      </c>
      <c r="AA21" s="150">
        <f t="shared" si="0"/>
        <v>1.7</v>
      </c>
      <c r="AB21" s="138">
        <f t="shared" si="4"/>
        <v>8500</v>
      </c>
      <c r="AC21" s="150">
        <f t="shared" si="5"/>
        <v>1.7</v>
      </c>
      <c r="AD21" s="138">
        <f t="shared" si="6"/>
        <v>8500</v>
      </c>
      <c r="AE21" s="151">
        <f t="shared" si="7"/>
        <v>1.7</v>
      </c>
      <c r="AF21" s="231">
        <f t="shared" si="8"/>
        <v>8500</v>
      </c>
      <c r="AG21" s="151">
        <f t="shared" si="9"/>
        <v>1.7</v>
      </c>
      <c r="AH21" s="138">
        <f t="shared" si="10"/>
        <v>8500</v>
      </c>
      <c r="AI21" s="153">
        <f t="shared" si="11"/>
        <v>1.7</v>
      </c>
      <c r="AJ21" s="154"/>
      <c r="AK21" s="239"/>
    </row>
    <row r="22" spans="1:37" ht="48.65" customHeight="1" thickBot="1" x14ac:dyDescent="0.35">
      <c r="A22" s="140">
        <v>14</v>
      </c>
      <c r="B22" s="160" t="s">
        <v>42</v>
      </c>
      <c r="C22" s="142" t="s">
        <v>46</v>
      </c>
      <c r="D22" s="142" t="s">
        <v>60</v>
      </c>
      <c r="E22" s="161" t="s">
        <v>78</v>
      </c>
      <c r="F22" s="144"/>
      <c r="G22" s="144"/>
      <c r="H22" s="144"/>
      <c r="I22" s="144"/>
      <c r="J22" s="163">
        <v>2</v>
      </c>
      <c r="K22" s="142" t="s">
        <v>82</v>
      </c>
      <c r="L22" s="164" t="s">
        <v>25</v>
      </c>
      <c r="M22" s="134">
        <f>2049+2363</f>
        <v>4412</v>
      </c>
      <c r="N22" s="145">
        <f>71.5+56.75</f>
        <v>128.25</v>
      </c>
      <c r="O22" s="147">
        <f t="shared" si="1"/>
        <v>5.57</v>
      </c>
      <c r="P22" s="135">
        <f t="shared" si="2"/>
        <v>191.61668615984405</v>
      </c>
      <c r="Q22" s="148"/>
      <c r="R22" s="149"/>
      <c r="S22" s="136">
        <v>5000</v>
      </c>
      <c r="T22" s="142"/>
      <c r="U22" s="165"/>
      <c r="V22" s="148"/>
      <c r="W22" s="165"/>
      <c r="X22" s="148"/>
      <c r="Y22" s="182"/>
      <c r="Z22" s="270">
        <f t="shared" si="3"/>
        <v>10000</v>
      </c>
      <c r="AA22" s="150">
        <f t="shared" si="0"/>
        <v>2</v>
      </c>
      <c r="AB22" s="138">
        <f t="shared" si="4"/>
        <v>10000</v>
      </c>
      <c r="AC22" s="150">
        <f t="shared" si="5"/>
        <v>2</v>
      </c>
      <c r="AD22" s="138">
        <f t="shared" si="6"/>
        <v>10000</v>
      </c>
      <c r="AE22" s="151">
        <f t="shared" si="7"/>
        <v>2</v>
      </c>
      <c r="AF22" s="231">
        <f t="shared" si="8"/>
        <v>10000</v>
      </c>
      <c r="AG22" s="151">
        <f t="shared" si="9"/>
        <v>2</v>
      </c>
      <c r="AH22" s="138">
        <f t="shared" si="10"/>
        <v>10000</v>
      </c>
      <c r="AI22" s="153">
        <f t="shared" si="11"/>
        <v>2</v>
      </c>
      <c r="AJ22" s="154"/>
      <c r="AK22" s="239"/>
    </row>
    <row r="23" spans="1:37" ht="48.65" customHeight="1" thickBot="1" x14ac:dyDescent="0.35">
      <c r="A23" s="155">
        <v>15</v>
      </c>
      <c r="B23" s="160" t="s">
        <v>42</v>
      </c>
      <c r="C23" s="142" t="s">
        <v>46</v>
      </c>
      <c r="D23" s="142" t="s">
        <v>61</v>
      </c>
      <c r="E23" s="161" t="s">
        <v>79</v>
      </c>
      <c r="F23" s="142"/>
      <c r="G23" s="142"/>
      <c r="H23" s="142"/>
      <c r="I23" s="142"/>
      <c r="J23" s="163">
        <v>2</v>
      </c>
      <c r="K23" s="142" t="s">
        <v>82</v>
      </c>
      <c r="L23" s="164" t="s">
        <v>25</v>
      </c>
      <c r="M23" s="134">
        <v>2049</v>
      </c>
      <c r="N23" s="145">
        <v>71.5</v>
      </c>
      <c r="O23" s="147">
        <f t="shared" si="1"/>
        <v>5.57</v>
      </c>
      <c r="P23" s="135">
        <f t="shared" si="2"/>
        <v>159.6213986013986</v>
      </c>
      <c r="Q23" s="148"/>
      <c r="R23" s="149"/>
      <c r="S23" s="136">
        <v>5000</v>
      </c>
      <c r="T23" s="142"/>
      <c r="U23" s="165"/>
      <c r="V23" s="148"/>
      <c r="W23" s="165"/>
      <c r="X23" s="148"/>
      <c r="Y23" s="182"/>
      <c r="Z23" s="270">
        <f t="shared" si="3"/>
        <v>10000</v>
      </c>
      <c r="AA23" s="150">
        <f t="shared" si="0"/>
        <v>2</v>
      </c>
      <c r="AB23" s="138">
        <f t="shared" si="4"/>
        <v>10000</v>
      </c>
      <c r="AC23" s="150">
        <f t="shared" si="5"/>
        <v>2</v>
      </c>
      <c r="AD23" s="138">
        <f t="shared" si="6"/>
        <v>10000</v>
      </c>
      <c r="AE23" s="151">
        <f t="shared" si="7"/>
        <v>2</v>
      </c>
      <c r="AF23" s="231">
        <f t="shared" si="8"/>
        <v>10000</v>
      </c>
      <c r="AG23" s="151">
        <f t="shared" si="9"/>
        <v>2</v>
      </c>
      <c r="AH23" s="138">
        <f t="shared" si="10"/>
        <v>10000</v>
      </c>
      <c r="AI23" s="153">
        <f t="shared" si="11"/>
        <v>2</v>
      </c>
      <c r="AJ23" s="154"/>
      <c r="AK23" s="239"/>
    </row>
    <row r="24" spans="1:37" ht="48.65" customHeight="1" thickBot="1" x14ac:dyDescent="0.35">
      <c r="A24" s="263">
        <v>16</v>
      </c>
      <c r="B24" s="160" t="s">
        <v>42</v>
      </c>
      <c r="C24" s="142" t="s">
        <v>46</v>
      </c>
      <c r="D24" s="142" t="s">
        <v>62</v>
      </c>
      <c r="E24" s="161" t="s">
        <v>80</v>
      </c>
      <c r="F24" s="144"/>
      <c r="G24" s="144"/>
      <c r="H24" s="144"/>
      <c r="I24" s="144"/>
      <c r="J24" s="163">
        <v>2</v>
      </c>
      <c r="K24" s="142" t="s">
        <v>82</v>
      </c>
      <c r="L24" s="164" t="s">
        <v>25</v>
      </c>
      <c r="M24" s="134">
        <v>2049</v>
      </c>
      <c r="N24" s="145">
        <v>71.5</v>
      </c>
      <c r="O24" s="147">
        <f t="shared" si="1"/>
        <v>5.57</v>
      </c>
      <c r="P24" s="135">
        <f t="shared" si="2"/>
        <v>159.6213986013986</v>
      </c>
      <c r="Q24" s="148"/>
      <c r="R24" s="149"/>
      <c r="S24" s="136">
        <v>5000</v>
      </c>
      <c r="T24" s="142"/>
      <c r="U24" s="165"/>
      <c r="V24" s="148"/>
      <c r="W24" s="165"/>
      <c r="X24" s="148"/>
      <c r="Y24" s="182"/>
      <c r="Z24" s="270">
        <f t="shared" si="3"/>
        <v>10000</v>
      </c>
      <c r="AA24" s="150">
        <f t="shared" si="0"/>
        <v>2</v>
      </c>
      <c r="AB24" s="138">
        <f t="shared" si="4"/>
        <v>10000</v>
      </c>
      <c r="AC24" s="150">
        <f t="shared" si="5"/>
        <v>2</v>
      </c>
      <c r="AD24" s="138">
        <f t="shared" si="6"/>
        <v>10000</v>
      </c>
      <c r="AE24" s="151">
        <f t="shared" si="7"/>
        <v>2</v>
      </c>
      <c r="AF24" s="231">
        <f t="shared" si="8"/>
        <v>10000</v>
      </c>
      <c r="AG24" s="151">
        <f t="shared" si="9"/>
        <v>2</v>
      </c>
      <c r="AH24" s="138">
        <f t="shared" si="10"/>
        <v>10000</v>
      </c>
      <c r="AI24" s="153">
        <f t="shared" si="11"/>
        <v>2</v>
      </c>
      <c r="AJ24" s="154"/>
      <c r="AK24" s="239"/>
    </row>
    <row r="25" spans="1:37" ht="48.65" customHeight="1" x14ac:dyDescent="0.3">
      <c r="A25" s="140">
        <v>17</v>
      </c>
      <c r="B25" s="160" t="s">
        <v>42</v>
      </c>
      <c r="C25" s="142" t="s">
        <v>46</v>
      </c>
      <c r="D25" s="142" t="s">
        <v>62</v>
      </c>
      <c r="E25" s="161" t="s">
        <v>81</v>
      </c>
      <c r="F25" s="142"/>
      <c r="G25" s="142"/>
      <c r="H25" s="142"/>
      <c r="I25" s="142"/>
      <c r="J25" s="163">
        <v>2.7</v>
      </c>
      <c r="K25" s="142" t="s">
        <v>82</v>
      </c>
      <c r="L25" s="164" t="s">
        <v>25</v>
      </c>
      <c r="M25" s="134">
        <v>2049</v>
      </c>
      <c r="N25" s="145">
        <v>71.5</v>
      </c>
      <c r="O25" s="147">
        <f t="shared" si="1"/>
        <v>6.9700000000000006</v>
      </c>
      <c r="P25" s="135">
        <f t="shared" si="2"/>
        <v>199.74167832167834</v>
      </c>
      <c r="Q25" s="148"/>
      <c r="R25" s="149"/>
      <c r="S25" s="136">
        <v>5000</v>
      </c>
      <c r="T25" s="142"/>
      <c r="U25" s="165"/>
      <c r="V25" s="148"/>
      <c r="W25" s="165"/>
      <c r="X25" s="148"/>
      <c r="Y25" s="182"/>
      <c r="Z25" s="270">
        <f t="shared" si="3"/>
        <v>13500</v>
      </c>
      <c r="AA25" s="150">
        <f t="shared" si="0"/>
        <v>2.7</v>
      </c>
      <c r="AB25" s="138">
        <f t="shared" si="4"/>
        <v>13500</v>
      </c>
      <c r="AC25" s="150">
        <f t="shared" si="5"/>
        <v>2.7</v>
      </c>
      <c r="AD25" s="138">
        <f t="shared" si="6"/>
        <v>13500</v>
      </c>
      <c r="AE25" s="151">
        <f t="shared" si="7"/>
        <v>2.7</v>
      </c>
      <c r="AF25" s="231">
        <f t="shared" si="8"/>
        <v>13500</v>
      </c>
      <c r="AG25" s="151">
        <f t="shared" si="9"/>
        <v>2.7</v>
      </c>
      <c r="AH25" s="138">
        <f t="shared" si="10"/>
        <v>13500</v>
      </c>
      <c r="AI25" s="153">
        <f t="shared" si="11"/>
        <v>2.7</v>
      </c>
      <c r="AJ25" s="154"/>
      <c r="AK25" s="239"/>
    </row>
    <row r="26" spans="1:37" ht="18" customHeight="1" x14ac:dyDescent="0.3">
      <c r="A26" s="166"/>
      <c r="B26" s="167"/>
      <c r="C26" s="168"/>
      <c r="D26" s="168"/>
      <c r="E26" s="168"/>
      <c r="F26" s="168"/>
      <c r="G26" s="168"/>
      <c r="H26" s="168"/>
      <c r="I26" s="168"/>
      <c r="J26" s="169"/>
      <c r="K26" s="168"/>
      <c r="L26" s="170"/>
      <c r="M26" s="171"/>
      <c r="N26" s="171"/>
      <c r="O26" s="171"/>
      <c r="P26" s="172"/>
      <c r="Q26" s="173"/>
      <c r="R26" s="174"/>
      <c r="S26" s="175"/>
      <c r="T26" s="168"/>
      <c r="U26" s="168"/>
      <c r="V26" s="169"/>
      <c r="W26" s="168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71"/>
      <c r="AJ26" s="176"/>
      <c r="AK26" s="240"/>
    </row>
    <row r="27" spans="1:37" ht="48.65" customHeight="1" x14ac:dyDescent="0.3">
      <c r="A27" s="155">
        <v>1</v>
      </c>
      <c r="B27" s="141" t="s">
        <v>35</v>
      </c>
      <c r="C27" s="142" t="s">
        <v>43</v>
      </c>
      <c r="D27" s="142" t="s">
        <v>120</v>
      </c>
      <c r="E27" s="177" t="s">
        <v>129</v>
      </c>
      <c r="F27" s="178">
        <v>126.799249</v>
      </c>
      <c r="G27" s="178">
        <v>-8.5845210000000005</v>
      </c>
      <c r="H27" s="178">
        <v>126.84336500000001</v>
      </c>
      <c r="I27" s="178">
        <v>-8.5632079999999995</v>
      </c>
      <c r="J27" s="145">
        <v>8</v>
      </c>
      <c r="K27" s="179" t="s">
        <v>23</v>
      </c>
      <c r="L27" s="156" t="s">
        <v>8</v>
      </c>
      <c r="M27" s="145">
        <f>1819+3376</f>
        <v>5195</v>
      </c>
      <c r="N27" s="145">
        <f>23.18+22.95</f>
        <v>46.129999999999995</v>
      </c>
      <c r="O27" s="165">
        <f t="shared" ref="O27:O48" si="12">(J27*2)+$O$2</f>
        <v>17.57</v>
      </c>
      <c r="P27" s="135">
        <f t="shared" ref="P27:P48" si="13">(M27/N27)*O27</f>
        <v>1978.6722306525041</v>
      </c>
      <c r="Q27" s="180">
        <f>(P27*R27)/S27</f>
        <v>0.19187124660872767</v>
      </c>
      <c r="R27" s="149">
        <v>20</v>
      </c>
      <c r="S27" s="149">
        <v>206250</v>
      </c>
      <c r="T27" s="378">
        <f>Z27+AB27+AD27+AF27</f>
        <v>1650000</v>
      </c>
      <c r="U27" s="181">
        <v>1</v>
      </c>
      <c r="V27" s="148"/>
      <c r="W27" s="182"/>
      <c r="X27" s="145"/>
      <c r="Y27" s="182"/>
      <c r="Z27" s="183">
        <f>S27*AA27</f>
        <v>412500</v>
      </c>
      <c r="AA27" s="184">
        <v>2</v>
      </c>
      <c r="AB27" s="185">
        <f t="shared" ref="AB27" si="14">S27*AC27</f>
        <v>412500</v>
      </c>
      <c r="AC27" s="186">
        <v>2</v>
      </c>
      <c r="AD27" s="183">
        <f>S27*AE27</f>
        <v>412500</v>
      </c>
      <c r="AE27" s="187">
        <f>AC27</f>
        <v>2</v>
      </c>
      <c r="AF27" s="183">
        <f>S27*AG27</f>
        <v>412500</v>
      </c>
      <c r="AG27" s="187">
        <v>2</v>
      </c>
      <c r="AH27" s="189">
        <f>5000*AI27</f>
        <v>40000</v>
      </c>
      <c r="AI27" s="153">
        <v>8</v>
      </c>
      <c r="AJ27" s="154"/>
      <c r="AK27" s="239"/>
    </row>
    <row r="28" spans="1:37" ht="48.65" customHeight="1" x14ac:dyDescent="0.3">
      <c r="A28" s="155">
        <v>2</v>
      </c>
      <c r="B28" s="160" t="s">
        <v>92</v>
      </c>
      <c r="C28" s="142" t="s">
        <v>44</v>
      </c>
      <c r="D28" s="142" t="s">
        <v>122</v>
      </c>
      <c r="E28" s="161" t="s">
        <v>118</v>
      </c>
      <c r="F28" s="190">
        <v>126.83092600000001</v>
      </c>
      <c r="G28" s="190">
        <v>-8.4245789999999996</v>
      </c>
      <c r="H28" s="190">
        <v>126.888716</v>
      </c>
      <c r="I28" s="190">
        <v>-8.4564819999999994</v>
      </c>
      <c r="J28" s="145">
        <v>7.9</v>
      </c>
      <c r="K28" s="191" t="s">
        <v>145</v>
      </c>
      <c r="L28" s="156" t="s">
        <v>8</v>
      </c>
      <c r="M28" s="145">
        <f>1603+1728</f>
        <v>3331</v>
      </c>
      <c r="N28" s="192">
        <f>45.26+38.23</f>
        <v>83.49</v>
      </c>
      <c r="O28" s="165">
        <f t="shared" si="12"/>
        <v>17.37</v>
      </c>
      <c r="P28" s="135">
        <f t="shared" si="13"/>
        <v>693.01077973409997</v>
      </c>
      <c r="Q28" s="180">
        <f t="shared" ref="Q28:Q48" si="15">(P28*R28)/S28</f>
        <v>6.0480940776794175E-2</v>
      </c>
      <c r="R28" s="149">
        <v>18</v>
      </c>
      <c r="S28" s="149">
        <v>206250</v>
      </c>
      <c r="T28" s="378">
        <f>Z28+AB28+AD28+AF28</f>
        <v>1629375</v>
      </c>
      <c r="U28" s="181">
        <v>2</v>
      </c>
      <c r="V28" s="148"/>
      <c r="W28" s="182"/>
      <c r="X28" s="145"/>
      <c r="Y28" s="182"/>
      <c r="Z28" s="183">
        <f>S28*AA28</f>
        <v>408375</v>
      </c>
      <c r="AA28" s="285">
        <v>1.98</v>
      </c>
      <c r="AB28" s="185">
        <f>S28*AC28</f>
        <v>412500</v>
      </c>
      <c r="AC28" s="282">
        <v>2</v>
      </c>
      <c r="AD28" s="185">
        <f>S28*AE28</f>
        <v>412500</v>
      </c>
      <c r="AE28" s="282">
        <v>2</v>
      </c>
      <c r="AF28" s="185">
        <f>S28*AG28</f>
        <v>396000</v>
      </c>
      <c r="AG28" s="282">
        <v>1.92</v>
      </c>
      <c r="AH28" s="291">
        <f>5000*AI28</f>
        <v>39500</v>
      </c>
      <c r="AI28" s="150">
        <v>7.9</v>
      </c>
      <c r="AJ28" s="154"/>
      <c r="AK28" s="303"/>
    </row>
    <row r="29" spans="1:37" ht="48.65" customHeight="1" x14ac:dyDescent="0.3">
      <c r="A29" s="155">
        <v>3</v>
      </c>
      <c r="B29" s="160" t="s">
        <v>86</v>
      </c>
      <c r="C29" s="142" t="s">
        <v>43</v>
      </c>
      <c r="D29" s="142" t="s">
        <v>130</v>
      </c>
      <c r="E29" s="161" t="s">
        <v>109</v>
      </c>
      <c r="F29" s="190">
        <v>126.826787</v>
      </c>
      <c r="G29" s="190">
        <v>-8.5382250000000006</v>
      </c>
      <c r="H29" s="190">
        <v>126.779279</v>
      </c>
      <c r="I29" s="190">
        <v>-8.5248629999999999</v>
      </c>
      <c r="J29" s="145">
        <v>4.75</v>
      </c>
      <c r="K29" s="179" t="s">
        <v>23</v>
      </c>
      <c r="L29" s="156" t="s">
        <v>8</v>
      </c>
      <c r="M29" s="145">
        <f>952+1662</f>
        <v>2614</v>
      </c>
      <c r="N29" s="145">
        <f>11.38+16.37</f>
        <v>27.75</v>
      </c>
      <c r="O29" s="165">
        <f t="shared" si="12"/>
        <v>11.07</v>
      </c>
      <c r="P29" s="135">
        <f t="shared" si="13"/>
        <v>1042.774054054054</v>
      </c>
      <c r="Q29" s="180">
        <f t="shared" si="15"/>
        <v>0.10111748402948403</v>
      </c>
      <c r="R29" s="149">
        <v>20</v>
      </c>
      <c r="S29" s="149">
        <v>206250</v>
      </c>
      <c r="T29" s="142"/>
      <c r="U29" s="181">
        <v>3</v>
      </c>
      <c r="V29" s="148"/>
      <c r="W29" s="182"/>
      <c r="X29" s="145"/>
      <c r="Y29" s="182"/>
      <c r="Z29" s="284"/>
      <c r="AA29" s="286"/>
      <c r="AB29" s="274"/>
      <c r="AC29" s="289"/>
      <c r="AD29" s="188">
        <f>5000*AE29</f>
        <v>23750</v>
      </c>
      <c r="AE29" s="299">
        <v>4.75</v>
      </c>
      <c r="AF29" s="188">
        <f>5000*AG29</f>
        <v>23750</v>
      </c>
      <c r="AG29" s="299">
        <v>4.75</v>
      </c>
      <c r="AH29" s="189">
        <f t="shared" ref="AH29:AH33" si="16">5000*AI29</f>
        <v>23750</v>
      </c>
      <c r="AI29" s="300">
        <v>4.75</v>
      </c>
      <c r="AJ29" s="154"/>
      <c r="AK29" s="303"/>
    </row>
    <row r="30" spans="1:37" ht="48.65" customHeight="1" x14ac:dyDescent="0.3">
      <c r="A30" s="155">
        <v>4</v>
      </c>
      <c r="B30" s="160" t="s">
        <v>42</v>
      </c>
      <c r="C30" s="142" t="s">
        <v>45</v>
      </c>
      <c r="D30" s="142" t="s">
        <v>127</v>
      </c>
      <c r="E30" s="179" t="s">
        <v>106</v>
      </c>
      <c r="F30" s="190">
        <v>127.01532400000001</v>
      </c>
      <c r="G30" s="190">
        <v>-8.4430669999999992</v>
      </c>
      <c r="H30" s="190">
        <v>127.03996600000001</v>
      </c>
      <c r="I30" s="190">
        <v>-8.4615939999999998</v>
      </c>
      <c r="J30" s="145">
        <v>4.2</v>
      </c>
      <c r="K30" s="179" t="s">
        <v>23</v>
      </c>
      <c r="L30" s="156" t="s">
        <v>8</v>
      </c>
      <c r="M30" s="145">
        <v>3754</v>
      </c>
      <c r="N30" s="145">
        <v>99.33</v>
      </c>
      <c r="O30" s="165">
        <f t="shared" si="12"/>
        <v>9.9700000000000006</v>
      </c>
      <c r="P30" s="135">
        <f t="shared" si="13"/>
        <v>376.79834893788387</v>
      </c>
      <c r="Q30" s="180">
        <f t="shared" si="15"/>
        <v>4.8230188664049135E-2</v>
      </c>
      <c r="R30" s="149">
        <v>20</v>
      </c>
      <c r="S30" s="149">
        <v>156250</v>
      </c>
      <c r="T30" s="142"/>
      <c r="U30" s="181">
        <v>4</v>
      </c>
      <c r="V30" s="148"/>
      <c r="W30" s="165"/>
      <c r="X30" s="148"/>
      <c r="Y30" s="165"/>
      <c r="Z30" s="271"/>
      <c r="AA30" s="272"/>
      <c r="AB30" s="301"/>
      <c r="AC30" s="292"/>
      <c r="AD30" s="188">
        <f>5000*AE30</f>
        <v>21000</v>
      </c>
      <c r="AE30" s="299">
        <v>4.2</v>
      </c>
      <c r="AF30" s="188">
        <f>5000*AG30</f>
        <v>21000</v>
      </c>
      <c r="AG30" s="299">
        <v>4.2</v>
      </c>
      <c r="AH30" s="189">
        <f t="shared" si="16"/>
        <v>21000</v>
      </c>
      <c r="AI30" s="153">
        <v>4.2</v>
      </c>
      <c r="AJ30" s="154"/>
      <c r="AK30" s="239"/>
    </row>
    <row r="31" spans="1:37" ht="48.65" customHeight="1" x14ac:dyDescent="0.3">
      <c r="A31" s="155">
        <v>5</v>
      </c>
      <c r="B31" s="160" t="s">
        <v>42</v>
      </c>
      <c r="C31" s="142" t="s">
        <v>46</v>
      </c>
      <c r="D31" s="142" t="s">
        <v>125</v>
      </c>
      <c r="E31" s="179" t="s">
        <v>103</v>
      </c>
      <c r="F31" s="190">
        <v>126.85367100000001</v>
      </c>
      <c r="G31" s="190">
        <v>-8.7392339999999997</v>
      </c>
      <c r="H31" s="190">
        <v>126.860315</v>
      </c>
      <c r="I31" s="190">
        <v>-8.7382530000000003</v>
      </c>
      <c r="J31" s="145">
        <v>8.5</v>
      </c>
      <c r="K31" s="179" t="s">
        <v>84</v>
      </c>
      <c r="L31" s="156" t="s">
        <v>8</v>
      </c>
      <c r="M31" s="145">
        <v>2707</v>
      </c>
      <c r="N31" s="145">
        <v>52.84</v>
      </c>
      <c r="O31" s="165">
        <f t="shared" si="12"/>
        <v>18.57</v>
      </c>
      <c r="P31" s="135">
        <f t="shared" si="13"/>
        <v>951.34348978046933</v>
      </c>
      <c r="Q31" s="180">
        <f t="shared" si="15"/>
        <v>6.9188617438579583E-2</v>
      </c>
      <c r="R31" s="149">
        <v>15</v>
      </c>
      <c r="S31" s="149">
        <v>206250</v>
      </c>
      <c r="T31" s="380">
        <f>AB31+AD31+AF31+AH31</f>
        <v>1258125</v>
      </c>
      <c r="U31" s="181">
        <v>5</v>
      </c>
      <c r="V31" s="148"/>
      <c r="W31" s="165"/>
      <c r="X31" s="148"/>
      <c r="Y31" s="165"/>
      <c r="Z31" s="271"/>
      <c r="AA31" s="286"/>
      <c r="AB31" s="294">
        <f>S31*AC31</f>
        <v>330000</v>
      </c>
      <c r="AC31" s="282">
        <v>1.6</v>
      </c>
      <c r="AD31" s="183">
        <f>S31*AE31</f>
        <v>247500</v>
      </c>
      <c r="AE31" s="293">
        <v>1.2</v>
      </c>
      <c r="AF31" s="183">
        <f>S31*AG31</f>
        <v>268125</v>
      </c>
      <c r="AG31" s="293">
        <v>1.3</v>
      </c>
      <c r="AH31" s="183">
        <f>S31*AI31</f>
        <v>412500</v>
      </c>
      <c r="AI31" s="293">
        <v>2</v>
      </c>
      <c r="AJ31" s="302"/>
      <c r="AK31" s="239"/>
    </row>
    <row r="32" spans="1:37" ht="48.65" customHeight="1" x14ac:dyDescent="0.3">
      <c r="A32" s="155">
        <v>6</v>
      </c>
      <c r="B32" s="141" t="s">
        <v>42</v>
      </c>
      <c r="C32" s="142" t="s">
        <v>44</v>
      </c>
      <c r="D32" s="142" t="s">
        <v>131</v>
      </c>
      <c r="E32" s="177" t="s">
        <v>110</v>
      </c>
      <c r="F32" s="190">
        <v>126.976018</v>
      </c>
      <c r="G32" s="190">
        <v>-8.3452190000000002</v>
      </c>
      <c r="H32" s="190">
        <v>127.022965</v>
      </c>
      <c r="I32" s="190">
        <v>-8.3686530000000001</v>
      </c>
      <c r="J32" s="145">
        <v>7.5</v>
      </c>
      <c r="K32" s="179" t="s">
        <v>146</v>
      </c>
      <c r="L32" s="156" t="s">
        <v>8</v>
      </c>
      <c r="M32" s="145">
        <f>3709+3345</f>
        <v>7054</v>
      </c>
      <c r="N32" s="145">
        <f>59.77+82.14</f>
        <v>141.91</v>
      </c>
      <c r="O32" s="165">
        <f t="shared" si="12"/>
        <v>16.57</v>
      </c>
      <c r="P32" s="135">
        <f t="shared" si="13"/>
        <v>823.6542879289691</v>
      </c>
      <c r="Q32" s="180">
        <f t="shared" si="15"/>
        <v>4.4926597523398309E-2</v>
      </c>
      <c r="R32" s="149">
        <v>15</v>
      </c>
      <c r="S32" s="149">
        <v>275000</v>
      </c>
      <c r="T32" s="378">
        <f>AH32</f>
        <v>412500</v>
      </c>
      <c r="U32" s="181">
        <v>6</v>
      </c>
      <c r="V32" s="148"/>
      <c r="W32" s="165"/>
      <c r="X32" s="148"/>
      <c r="Y32" s="165"/>
      <c r="Z32" s="148"/>
      <c r="AA32" s="165"/>
      <c r="AB32" s="297"/>
      <c r="AC32" s="286"/>
      <c r="AD32" s="271"/>
      <c r="AE32" s="295"/>
      <c r="AF32" s="284"/>
      <c r="AG32" s="148"/>
      <c r="AH32" s="280">
        <f>S32*AI32</f>
        <v>412500</v>
      </c>
      <c r="AI32" s="304">
        <v>1.5</v>
      </c>
      <c r="AJ32" s="302"/>
      <c r="AK32" s="239"/>
    </row>
    <row r="33" spans="1:37" ht="48.65" customHeight="1" x14ac:dyDescent="0.3">
      <c r="A33" s="155">
        <v>7</v>
      </c>
      <c r="B33" s="160" t="s">
        <v>42</v>
      </c>
      <c r="C33" s="194" t="s">
        <v>95</v>
      </c>
      <c r="D33" s="194" t="s">
        <v>141</v>
      </c>
      <c r="E33" s="194" t="s">
        <v>140</v>
      </c>
      <c r="F33" s="190">
        <v>127.00926</v>
      </c>
      <c r="G33" s="190">
        <v>-8.6153080000000006</v>
      </c>
      <c r="H33" s="190">
        <v>127.007327</v>
      </c>
      <c r="I33" s="190">
        <v>-8.6199340000000007</v>
      </c>
      <c r="J33" s="181">
        <v>1.5</v>
      </c>
      <c r="K33" s="194" t="s">
        <v>23</v>
      </c>
      <c r="L33" s="195" t="s">
        <v>8</v>
      </c>
      <c r="M33" s="145">
        <f>3708+1655</f>
        <v>5363</v>
      </c>
      <c r="N33" s="145">
        <f>133.77+23.89</f>
        <v>157.66000000000003</v>
      </c>
      <c r="O33" s="165">
        <f t="shared" si="12"/>
        <v>4.57</v>
      </c>
      <c r="P33" s="135">
        <f t="shared" si="13"/>
        <v>155.45420525180768</v>
      </c>
      <c r="Q33" s="180">
        <f t="shared" si="15"/>
        <v>1.5074347175932866E-2</v>
      </c>
      <c r="R33" s="165">
        <v>20</v>
      </c>
      <c r="S33" s="196">
        <v>206250</v>
      </c>
      <c r="T33" s="378">
        <f>Z33</f>
        <v>309375</v>
      </c>
      <c r="U33" s="181">
        <v>7</v>
      </c>
      <c r="V33" s="165"/>
      <c r="W33" s="165"/>
      <c r="X33" s="165"/>
      <c r="Y33" s="165"/>
      <c r="Z33" s="275">
        <f>S33*AA33</f>
        <v>309375</v>
      </c>
      <c r="AA33" s="298">
        <v>1.5</v>
      </c>
      <c r="AB33" s="151">
        <f>5000*AC33</f>
        <v>7500</v>
      </c>
      <c r="AC33" s="290">
        <v>1.5</v>
      </c>
      <c r="AD33" s="188">
        <f>5000*AE33</f>
        <v>7500</v>
      </c>
      <c r="AE33" s="299">
        <v>1.5</v>
      </c>
      <c r="AF33" s="188">
        <f>5000*AG33</f>
        <v>7500</v>
      </c>
      <c r="AG33" s="300">
        <v>1.5</v>
      </c>
      <c r="AH33" s="189">
        <f t="shared" si="16"/>
        <v>7500</v>
      </c>
      <c r="AI33" s="305">
        <v>1.5</v>
      </c>
      <c r="AJ33" s="302"/>
      <c r="AK33" s="239"/>
    </row>
    <row r="34" spans="1:37" ht="48.65" customHeight="1" x14ac:dyDescent="0.3">
      <c r="A34" s="155">
        <v>8</v>
      </c>
      <c r="B34" s="160" t="s">
        <v>90</v>
      </c>
      <c r="C34" s="142" t="s">
        <v>44</v>
      </c>
      <c r="D34" s="142" t="s">
        <v>121</v>
      </c>
      <c r="E34" s="161" t="s">
        <v>115</v>
      </c>
      <c r="F34" s="190">
        <v>126.93129999999999</v>
      </c>
      <c r="G34" s="190">
        <v>-8.3599370000000004</v>
      </c>
      <c r="H34" s="190">
        <v>126.976018</v>
      </c>
      <c r="I34" s="190">
        <v>-8.3452190000000002</v>
      </c>
      <c r="J34" s="145">
        <v>7.9</v>
      </c>
      <c r="K34" s="143" t="s">
        <v>24</v>
      </c>
      <c r="L34" s="156" t="s">
        <v>8</v>
      </c>
      <c r="M34" s="145">
        <v>3345</v>
      </c>
      <c r="N34" s="145">
        <v>82.14</v>
      </c>
      <c r="O34" s="165">
        <f t="shared" si="12"/>
        <v>17.37</v>
      </c>
      <c r="P34" s="135">
        <f t="shared" si="13"/>
        <v>707.36121256391527</v>
      </c>
      <c r="Q34" s="180">
        <f t="shared" si="15"/>
        <v>3.4296301215220135E-2</v>
      </c>
      <c r="R34" s="149">
        <v>10</v>
      </c>
      <c r="S34" s="149">
        <v>206250</v>
      </c>
      <c r="T34" s="378">
        <f>AH34</f>
        <v>247500</v>
      </c>
      <c r="U34" s="181">
        <v>8</v>
      </c>
      <c r="V34" s="148"/>
      <c r="W34" s="165"/>
      <c r="X34" s="148"/>
      <c r="Y34" s="182"/>
      <c r="Z34" s="274"/>
      <c r="AA34" s="289"/>
      <c r="AB34" s="148"/>
      <c r="AC34" s="287"/>
      <c r="AD34" s="271"/>
      <c r="AE34" s="148"/>
      <c r="AF34" s="271"/>
      <c r="AG34" s="278"/>
      <c r="AH34" s="280">
        <f>S34*AI34</f>
        <v>247500</v>
      </c>
      <c r="AI34" s="298">
        <v>1.2</v>
      </c>
      <c r="AJ34" s="281"/>
      <c r="AK34" s="239"/>
    </row>
    <row r="35" spans="1:37" ht="48.65" customHeight="1" x14ac:dyDescent="0.3">
      <c r="A35" s="155">
        <v>9</v>
      </c>
      <c r="B35" s="163" t="s">
        <v>42</v>
      </c>
      <c r="C35" s="142" t="s">
        <v>44</v>
      </c>
      <c r="D35" s="142" t="s">
        <v>126</v>
      </c>
      <c r="E35" s="179" t="s">
        <v>105</v>
      </c>
      <c r="F35" s="199">
        <v>126.882902</v>
      </c>
      <c r="G35" s="199">
        <v>-8.4679020000000005</v>
      </c>
      <c r="H35" s="199">
        <v>126.885096</v>
      </c>
      <c r="I35" s="199">
        <v>-8.4903739999999992</v>
      </c>
      <c r="J35" s="145">
        <v>3.5</v>
      </c>
      <c r="K35" s="179" t="s">
        <v>84</v>
      </c>
      <c r="L35" s="156" t="s">
        <v>8</v>
      </c>
      <c r="M35" s="145">
        <v>2515</v>
      </c>
      <c r="N35" s="145">
        <v>61.27</v>
      </c>
      <c r="O35" s="165">
        <f t="shared" si="12"/>
        <v>8.57</v>
      </c>
      <c r="P35" s="135">
        <f t="shared" si="13"/>
        <v>351.77982699526689</v>
      </c>
      <c r="Q35" s="180">
        <f t="shared" si="15"/>
        <v>2.558398741783759E-2</v>
      </c>
      <c r="R35" s="149">
        <v>15</v>
      </c>
      <c r="S35" s="149">
        <v>206250</v>
      </c>
      <c r="T35" s="142"/>
      <c r="U35" s="181">
        <v>9</v>
      </c>
      <c r="V35" s="148"/>
      <c r="W35" s="165"/>
      <c r="X35" s="288"/>
      <c r="Y35" s="182"/>
      <c r="Z35" s="145"/>
      <c r="AA35" s="292"/>
      <c r="AB35" s="148"/>
      <c r="AC35" s="272"/>
      <c r="AD35" s="296"/>
      <c r="AE35" s="148"/>
      <c r="AF35" s="271"/>
      <c r="AG35" s="278"/>
      <c r="AH35" s="196"/>
      <c r="AI35" s="279"/>
      <c r="AJ35" s="154"/>
      <c r="AK35" s="239"/>
    </row>
    <row r="36" spans="1:37" ht="48.65" customHeight="1" x14ac:dyDescent="0.3">
      <c r="A36" s="155">
        <v>10</v>
      </c>
      <c r="B36" s="160" t="s">
        <v>89</v>
      </c>
      <c r="C36" s="142" t="s">
        <v>44</v>
      </c>
      <c r="D36" s="142" t="s">
        <v>134</v>
      </c>
      <c r="E36" s="179" t="s">
        <v>114</v>
      </c>
      <c r="F36" s="199">
        <v>126.911095</v>
      </c>
      <c r="G36" s="199">
        <v>-8.4023389999999996</v>
      </c>
      <c r="H36" s="190">
        <v>126.93129999999999</v>
      </c>
      <c r="I36" s="190">
        <v>-8.3599370000000004</v>
      </c>
      <c r="J36" s="145">
        <v>5.7</v>
      </c>
      <c r="K36" s="143" t="s">
        <v>24</v>
      </c>
      <c r="L36" s="156" t="s">
        <v>8</v>
      </c>
      <c r="M36" s="145">
        <f>2124+3345</f>
        <v>5469</v>
      </c>
      <c r="N36" s="145">
        <f>20.62+82.14</f>
        <v>102.76</v>
      </c>
      <c r="O36" s="165">
        <f t="shared" si="12"/>
        <v>12.97</v>
      </c>
      <c r="P36" s="135">
        <f t="shared" si="13"/>
        <v>690.27763721292331</v>
      </c>
      <c r="Q36" s="180">
        <f t="shared" si="15"/>
        <v>3.3468006652747795E-2</v>
      </c>
      <c r="R36" s="149">
        <v>10</v>
      </c>
      <c r="S36" s="149">
        <v>206250</v>
      </c>
      <c r="T36" s="142"/>
      <c r="U36" s="181">
        <v>10</v>
      </c>
      <c r="V36" s="148"/>
      <c r="W36" s="165"/>
      <c r="X36" s="148"/>
      <c r="Y36" s="165"/>
      <c r="Z36" s="148"/>
      <c r="AA36" s="165"/>
      <c r="AB36" s="148"/>
      <c r="AC36" s="272"/>
      <c r="AD36" s="284"/>
      <c r="AE36" s="148"/>
      <c r="AF36" s="271"/>
      <c r="AG36" s="278"/>
      <c r="AH36" s="196"/>
      <c r="AI36" s="279"/>
      <c r="AJ36" s="154"/>
      <c r="AK36" s="239"/>
    </row>
    <row r="37" spans="1:37" ht="48.65" customHeight="1" x14ac:dyDescent="0.3">
      <c r="A37" s="155">
        <v>11</v>
      </c>
      <c r="B37" s="163" t="s">
        <v>93</v>
      </c>
      <c r="C37" s="142" t="s">
        <v>45</v>
      </c>
      <c r="D37" s="142" t="s">
        <v>58</v>
      </c>
      <c r="E37" s="179" t="s">
        <v>96</v>
      </c>
      <c r="F37" s="178">
        <v>126.951606</v>
      </c>
      <c r="G37" s="178">
        <v>-8.5208480000000009</v>
      </c>
      <c r="H37" s="178">
        <v>126.952022</v>
      </c>
      <c r="I37" s="178">
        <v>-8.5286249999999999</v>
      </c>
      <c r="J37" s="145">
        <v>1</v>
      </c>
      <c r="K37" s="179" t="s">
        <v>23</v>
      </c>
      <c r="L37" s="156" t="s">
        <v>8</v>
      </c>
      <c r="M37" s="145">
        <v>4111</v>
      </c>
      <c r="N37" s="145">
        <v>43.4</v>
      </c>
      <c r="O37" s="165">
        <f t="shared" si="12"/>
        <v>3.5700000000000003</v>
      </c>
      <c r="P37" s="135">
        <f t="shared" si="13"/>
        <v>338.16290322580653</v>
      </c>
      <c r="Q37" s="180">
        <f t="shared" si="15"/>
        <v>4.3284851612903234E-2</v>
      </c>
      <c r="R37" s="149">
        <v>20</v>
      </c>
      <c r="S37" s="149">
        <v>156250</v>
      </c>
      <c r="T37" s="142"/>
      <c r="U37" s="181">
        <v>11</v>
      </c>
      <c r="V37" s="148"/>
      <c r="W37" s="165"/>
      <c r="X37" s="148"/>
      <c r="Y37" s="182"/>
      <c r="Z37" s="145"/>
      <c r="AA37" s="182"/>
      <c r="AB37" s="145"/>
      <c r="AC37" s="182"/>
      <c r="AD37" s="271"/>
      <c r="AE37" s="148"/>
      <c r="AF37" s="271"/>
      <c r="AG37" s="148"/>
      <c r="AH37" s="196"/>
      <c r="AI37" s="279"/>
      <c r="AJ37" s="154"/>
      <c r="AK37" s="239"/>
    </row>
    <row r="38" spans="1:37" ht="48.65" customHeight="1" x14ac:dyDescent="0.3">
      <c r="A38" s="155">
        <v>12</v>
      </c>
      <c r="B38" s="160" t="s">
        <v>39</v>
      </c>
      <c r="C38" s="142" t="s">
        <v>45</v>
      </c>
      <c r="D38" s="142" t="s">
        <v>57</v>
      </c>
      <c r="E38" s="161" t="s">
        <v>74</v>
      </c>
      <c r="F38" s="200">
        <v>127.06660100000001</v>
      </c>
      <c r="G38" s="200">
        <v>-8.5178139999999996</v>
      </c>
      <c r="H38" s="200">
        <v>127.08969</v>
      </c>
      <c r="I38" s="200">
        <v>-8.5144680000000008</v>
      </c>
      <c r="J38" s="145">
        <v>3</v>
      </c>
      <c r="K38" s="142" t="s">
        <v>84</v>
      </c>
      <c r="L38" s="156" t="s">
        <v>8</v>
      </c>
      <c r="M38" s="145">
        <v>2785</v>
      </c>
      <c r="N38" s="145">
        <v>76.28</v>
      </c>
      <c r="O38" s="165">
        <f t="shared" si="12"/>
        <v>7.57</v>
      </c>
      <c r="P38" s="135">
        <f t="shared" si="13"/>
        <v>276.38240692186679</v>
      </c>
      <c r="Q38" s="180">
        <f t="shared" si="15"/>
        <v>2.6532711064499209E-2</v>
      </c>
      <c r="R38" s="149">
        <v>15</v>
      </c>
      <c r="S38" s="149">
        <v>156250</v>
      </c>
      <c r="T38" s="142"/>
      <c r="U38" s="181">
        <v>12</v>
      </c>
      <c r="V38" s="148"/>
      <c r="W38" s="165"/>
      <c r="X38" s="148"/>
      <c r="Y38" s="182"/>
      <c r="Z38" s="274"/>
      <c r="AA38" s="289"/>
      <c r="AB38" s="274"/>
      <c r="AC38" s="289"/>
      <c r="AD38" s="271"/>
      <c r="AE38" s="148"/>
      <c r="AF38" s="271"/>
      <c r="AG38" s="148"/>
      <c r="AH38" s="196"/>
      <c r="AI38" s="279"/>
      <c r="AJ38" s="154"/>
      <c r="AK38" s="239"/>
    </row>
    <row r="39" spans="1:37" ht="48.65" customHeight="1" x14ac:dyDescent="0.3">
      <c r="A39" s="155">
        <v>13</v>
      </c>
      <c r="B39" s="160" t="s">
        <v>42</v>
      </c>
      <c r="C39" s="142" t="s">
        <v>46</v>
      </c>
      <c r="D39" s="142" t="s">
        <v>125</v>
      </c>
      <c r="E39" s="179" t="s">
        <v>102</v>
      </c>
      <c r="F39" s="190">
        <v>126.826892</v>
      </c>
      <c r="G39" s="190">
        <v>-8.7096719999999994</v>
      </c>
      <c r="H39" s="190">
        <v>126.833938</v>
      </c>
      <c r="I39" s="190">
        <v>-8.7219470000000001</v>
      </c>
      <c r="J39" s="145">
        <v>3</v>
      </c>
      <c r="K39" s="179" t="s">
        <v>84</v>
      </c>
      <c r="L39" s="156" t="s">
        <v>8</v>
      </c>
      <c r="M39" s="145">
        <v>2707</v>
      </c>
      <c r="N39" s="145">
        <v>52.84</v>
      </c>
      <c r="O39" s="165">
        <f t="shared" si="12"/>
        <v>7.57</v>
      </c>
      <c r="P39" s="135">
        <f t="shared" si="13"/>
        <v>387.81207418622256</v>
      </c>
      <c r="Q39" s="180">
        <f t="shared" si="15"/>
        <v>2.1153385864703049E-2</v>
      </c>
      <c r="R39" s="149">
        <v>15</v>
      </c>
      <c r="S39" s="149">
        <v>275000</v>
      </c>
      <c r="T39" s="142"/>
      <c r="U39" s="181">
        <v>13</v>
      </c>
      <c r="V39" s="148"/>
      <c r="W39" s="165"/>
      <c r="X39" s="148"/>
      <c r="Y39" s="165"/>
      <c r="Z39" s="148"/>
      <c r="AA39" s="182"/>
      <c r="AB39" s="145"/>
      <c r="AC39" s="182"/>
      <c r="AD39" s="271"/>
      <c r="AE39" s="148"/>
      <c r="AF39" s="271"/>
      <c r="AG39" s="148"/>
      <c r="AH39" s="196"/>
      <c r="AI39" s="279"/>
      <c r="AJ39" s="154"/>
      <c r="AK39" s="239"/>
    </row>
    <row r="40" spans="1:37" ht="48.65" customHeight="1" x14ac:dyDescent="0.3">
      <c r="A40" s="155">
        <v>14</v>
      </c>
      <c r="B40" s="160" t="s">
        <v>39</v>
      </c>
      <c r="C40" s="142" t="s">
        <v>45</v>
      </c>
      <c r="D40" s="142" t="s">
        <v>57</v>
      </c>
      <c r="E40" s="161" t="s">
        <v>117</v>
      </c>
      <c r="F40" s="190">
        <v>127.08969</v>
      </c>
      <c r="G40" s="190">
        <v>-8.5144680000000008</v>
      </c>
      <c r="H40" s="190">
        <v>127.111547</v>
      </c>
      <c r="I40" s="190">
        <v>-8.4924769999999992</v>
      </c>
      <c r="J40" s="145">
        <v>3.5</v>
      </c>
      <c r="K40" s="143" t="s">
        <v>24</v>
      </c>
      <c r="L40" s="156" t="s">
        <v>8</v>
      </c>
      <c r="M40" s="145">
        <v>2785</v>
      </c>
      <c r="N40" s="145">
        <v>76.28</v>
      </c>
      <c r="O40" s="165">
        <f t="shared" si="12"/>
        <v>8.57</v>
      </c>
      <c r="P40" s="135">
        <f t="shared" si="13"/>
        <v>312.89263240692185</v>
      </c>
      <c r="Q40" s="180">
        <f t="shared" si="15"/>
        <v>2.0025128474042999E-2</v>
      </c>
      <c r="R40" s="149">
        <v>10</v>
      </c>
      <c r="S40" s="149">
        <v>156250</v>
      </c>
      <c r="T40" s="142"/>
      <c r="U40" s="181">
        <v>14</v>
      </c>
      <c r="V40" s="148"/>
      <c r="W40" s="165"/>
      <c r="X40" s="148"/>
      <c r="Y40" s="165"/>
      <c r="Z40" s="148"/>
      <c r="AA40" s="165"/>
      <c r="AB40" s="148"/>
      <c r="AC40" s="182"/>
      <c r="AD40" s="271"/>
      <c r="AE40" s="148"/>
      <c r="AF40" s="271"/>
      <c r="AG40" s="148"/>
      <c r="AH40" s="196"/>
      <c r="AI40" s="279"/>
      <c r="AJ40" s="154"/>
      <c r="AK40" s="239"/>
    </row>
    <row r="41" spans="1:37" ht="48.65" customHeight="1" x14ac:dyDescent="0.3">
      <c r="A41" s="155">
        <v>15</v>
      </c>
      <c r="B41" s="160" t="s">
        <v>41</v>
      </c>
      <c r="C41" s="142" t="s">
        <v>46</v>
      </c>
      <c r="D41" s="142" t="s">
        <v>133</v>
      </c>
      <c r="E41" s="161" t="s">
        <v>113</v>
      </c>
      <c r="F41" s="190">
        <v>126.828141</v>
      </c>
      <c r="G41" s="190">
        <v>-8.6896930000000001</v>
      </c>
      <c r="H41" s="199">
        <v>126.82643299999999</v>
      </c>
      <c r="I41" s="199">
        <v>-8.7008010000000002</v>
      </c>
      <c r="J41" s="145">
        <v>4</v>
      </c>
      <c r="K41" s="143" t="s">
        <v>84</v>
      </c>
      <c r="L41" s="156" t="s">
        <v>8</v>
      </c>
      <c r="M41" s="145">
        <f>2707+2049</f>
        <v>4756</v>
      </c>
      <c r="N41" s="145">
        <f>52.85+71.5</f>
        <v>124.35</v>
      </c>
      <c r="O41" s="165">
        <f t="shared" si="12"/>
        <v>9.57</v>
      </c>
      <c r="P41" s="135">
        <f t="shared" si="13"/>
        <v>366.0226779252111</v>
      </c>
      <c r="Q41" s="180">
        <f t="shared" si="15"/>
        <v>2.6619831121833536E-2</v>
      </c>
      <c r="R41" s="149">
        <v>15</v>
      </c>
      <c r="S41" s="149">
        <v>206250</v>
      </c>
      <c r="T41" s="142"/>
      <c r="U41" s="181">
        <v>15</v>
      </c>
      <c r="V41" s="148"/>
      <c r="W41" s="165"/>
      <c r="X41" s="148"/>
      <c r="Y41" s="165"/>
      <c r="Z41" s="148"/>
      <c r="AA41" s="165"/>
      <c r="AB41" s="148"/>
      <c r="AC41" s="182"/>
      <c r="AD41" s="145"/>
      <c r="AE41" s="148"/>
      <c r="AF41" s="148"/>
      <c r="AG41" s="148"/>
      <c r="AH41" s="271"/>
      <c r="AI41" s="278"/>
      <c r="AJ41" s="154"/>
      <c r="AK41" s="239"/>
    </row>
    <row r="42" spans="1:37" ht="48.65" customHeight="1" x14ac:dyDescent="0.3">
      <c r="A42" s="155">
        <v>16</v>
      </c>
      <c r="B42" s="160" t="s">
        <v>42</v>
      </c>
      <c r="C42" s="142" t="s">
        <v>95</v>
      </c>
      <c r="D42" s="142" t="s">
        <v>128</v>
      </c>
      <c r="E42" s="161" t="s">
        <v>107</v>
      </c>
      <c r="F42" s="190">
        <v>127.010875</v>
      </c>
      <c r="G42" s="190">
        <v>-8.6117260000000009</v>
      </c>
      <c r="H42" s="190">
        <v>127.048399</v>
      </c>
      <c r="I42" s="190">
        <v>-8.6006129999999992</v>
      </c>
      <c r="J42" s="145">
        <v>5</v>
      </c>
      <c r="K42" s="179" t="s">
        <v>24</v>
      </c>
      <c r="L42" s="156" t="s">
        <v>8</v>
      </c>
      <c r="M42" s="145">
        <v>3708</v>
      </c>
      <c r="N42" s="145">
        <v>133.69999999999999</v>
      </c>
      <c r="O42" s="165">
        <f t="shared" si="12"/>
        <v>11.57</v>
      </c>
      <c r="P42" s="135">
        <f t="shared" si="13"/>
        <v>320.87928197456995</v>
      </c>
      <c r="Q42" s="180">
        <f t="shared" si="15"/>
        <v>1.5557783368463998E-2</v>
      </c>
      <c r="R42" s="149">
        <v>10</v>
      </c>
      <c r="S42" s="149">
        <v>206250</v>
      </c>
      <c r="T42" s="142"/>
      <c r="U42" s="181">
        <v>16</v>
      </c>
      <c r="V42" s="148"/>
      <c r="W42" s="165"/>
      <c r="X42" s="148"/>
      <c r="Y42" s="165"/>
      <c r="Z42" s="148"/>
      <c r="AA42" s="217"/>
      <c r="AB42" s="274"/>
      <c r="AC42" s="217"/>
      <c r="AD42" s="145"/>
      <c r="AE42" s="148"/>
      <c r="AF42" s="148"/>
      <c r="AG42" s="148"/>
      <c r="AH42" s="271"/>
      <c r="AI42" s="278"/>
      <c r="AJ42" s="154"/>
      <c r="AK42" s="239"/>
    </row>
    <row r="43" spans="1:37" ht="48.65" customHeight="1" x14ac:dyDescent="0.3">
      <c r="A43" s="155">
        <v>17</v>
      </c>
      <c r="B43" s="160" t="s">
        <v>42</v>
      </c>
      <c r="C43" s="142" t="s">
        <v>46</v>
      </c>
      <c r="D43" s="142" t="s">
        <v>125</v>
      </c>
      <c r="E43" s="161" t="s">
        <v>108</v>
      </c>
      <c r="F43" s="199">
        <v>126.82301</v>
      </c>
      <c r="G43" s="199">
        <v>-8.7128040000000002</v>
      </c>
      <c r="H43" s="199">
        <v>126.80778599999999</v>
      </c>
      <c r="I43" s="199">
        <v>-8.7185459999999999</v>
      </c>
      <c r="J43" s="145">
        <v>2.5</v>
      </c>
      <c r="K43" s="179" t="s">
        <v>84</v>
      </c>
      <c r="L43" s="156" t="s">
        <v>8</v>
      </c>
      <c r="M43" s="145">
        <v>2707</v>
      </c>
      <c r="N43" s="145">
        <v>52.84</v>
      </c>
      <c r="O43" s="165">
        <f t="shared" si="12"/>
        <v>6.57</v>
      </c>
      <c r="P43" s="135">
        <f t="shared" si="13"/>
        <v>336.58194549583646</v>
      </c>
      <c r="Q43" s="180">
        <f t="shared" si="15"/>
        <v>1.8359015208863808E-2</v>
      </c>
      <c r="R43" s="149">
        <v>15</v>
      </c>
      <c r="S43" s="149">
        <v>275000</v>
      </c>
      <c r="T43" s="142"/>
      <c r="U43" s="181">
        <v>17</v>
      </c>
      <c r="V43" s="148"/>
      <c r="W43" s="165"/>
      <c r="X43" s="148"/>
      <c r="Y43" s="165"/>
      <c r="Z43" s="148"/>
      <c r="AA43" s="165"/>
      <c r="AB43" s="148"/>
      <c r="AC43" s="182"/>
      <c r="AD43" s="145"/>
      <c r="AE43" s="148"/>
      <c r="AF43" s="148"/>
      <c r="AG43" s="148"/>
      <c r="AH43" s="271"/>
      <c r="AI43" s="278"/>
      <c r="AJ43" s="154"/>
      <c r="AK43" s="239"/>
    </row>
    <row r="44" spans="1:37" ht="48.65" customHeight="1" x14ac:dyDescent="0.3">
      <c r="A44" s="155">
        <v>18</v>
      </c>
      <c r="B44" s="160" t="s">
        <v>42</v>
      </c>
      <c r="C44" s="142" t="s">
        <v>46</v>
      </c>
      <c r="D44" s="142" t="s">
        <v>125</v>
      </c>
      <c r="E44" s="179" t="s">
        <v>104</v>
      </c>
      <c r="F44" s="190">
        <v>126.83604099999999</v>
      </c>
      <c r="G44" s="190">
        <v>-8.6817060000000001</v>
      </c>
      <c r="H44" s="190">
        <v>126.859624</v>
      </c>
      <c r="I44" s="190">
        <v>-8.6872249999999998</v>
      </c>
      <c r="J44" s="145">
        <v>3.05</v>
      </c>
      <c r="K44" s="179" t="s">
        <v>84</v>
      </c>
      <c r="L44" s="156" t="s">
        <v>8</v>
      </c>
      <c r="M44" s="145">
        <v>1150</v>
      </c>
      <c r="N44" s="145">
        <v>97.5</v>
      </c>
      <c r="O44" s="165">
        <f t="shared" si="12"/>
        <v>7.67</v>
      </c>
      <c r="P44" s="135">
        <f t="shared" si="13"/>
        <v>90.466666666666669</v>
      </c>
      <c r="Q44" s="180">
        <f t="shared" si="15"/>
        <v>4.9345454545454545E-3</v>
      </c>
      <c r="R44" s="149">
        <v>15</v>
      </c>
      <c r="S44" s="149">
        <v>275000</v>
      </c>
      <c r="T44" s="142"/>
      <c r="U44" s="181">
        <v>18</v>
      </c>
      <c r="V44" s="148"/>
      <c r="W44" s="165"/>
      <c r="X44" s="148"/>
      <c r="Y44" s="182"/>
      <c r="Z44" s="145"/>
      <c r="AA44" s="182"/>
      <c r="AB44" s="145"/>
      <c r="AC44" s="182"/>
      <c r="AD44" s="145"/>
      <c r="AE44" s="148"/>
      <c r="AF44" s="148"/>
      <c r="AG44" s="148"/>
      <c r="AH44" s="271"/>
      <c r="AI44" s="278"/>
      <c r="AJ44" s="154"/>
      <c r="AK44" s="239"/>
    </row>
    <row r="45" spans="1:37" ht="48.65" customHeight="1" x14ac:dyDescent="0.3">
      <c r="A45" s="155">
        <v>19</v>
      </c>
      <c r="B45" s="160" t="s">
        <v>88</v>
      </c>
      <c r="C45" s="142" t="s">
        <v>44</v>
      </c>
      <c r="D45" s="142" t="s">
        <v>132</v>
      </c>
      <c r="E45" s="161" t="s">
        <v>112</v>
      </c>
      <c r="F45" s="190">
        <v>126.848935</v>
      </c>
      <c r="G45" s="190">
        <v>-8.5179659999999995</v>
      </c>
      <c r="H45" s="190">
        <v>126.888716</v>
      </c>
      <c r="I45" s="190">
        <v>-8.4564819999999994</v>
      </c>
      <c r="J45" s="145">
        <v>10.3</v>
      </c>
      <c r="K45" s="143" t="s">
        <v>135</v>
      </c>
      <c r="L45" s="201" t="s">
        <v>25</v>
      </c>
      <c r="M45" s="145">
        <v>1603</v>
      </c>
      <c r="N45" s="145">
        <v>45.26</v>
      </c>
      <c r="O45" s="165">
        <f t="shared" si="12"/>
        <v>22.17</v>
      </c>
      <c r="P45" s="135">
        <f t="shared" si="13"/>
        <v>785.20790985417602</v>
      </c>
      <c r="Q45" s="180">
        <f t="shared" si="15"/>
        <v>0</v>
      </c>
      <c r="R45" s="149"/>
      <c r="S45" s="149">
        <v>5000</v>
      </c>
      <c r="T45" s="142"/>
      <c r="U45" s="181">
        <v>19</v>
      </c>
      <c r="V45" s="148"/>
      <c r="W45" s="165"/>
      <c r="X45" s="148"/>
      <c r="Y45" s="165"/>
      <c r="Z45" s="148"/>
      <c r="AA45" s="165"/>
      <c r="AB45" s="277"/>
      <c r="AC45" s="217"/>
      <c r="AD45" s="277"/>
      <c r="AE45" s="148"/>
      <c r="AF45" s="277"/>
      <c r="AG45" s="148"/>
      <c r="AH45" s="271"/>
      <c r="AI45" s="279"/>
      <c r="AJ45" s="154"/>
      <c r="AK45" s="239"/>
    </row>
    <row r="46" spans="1:37" ht="48.65" customHeight="1" x14ac:dyDescent="0.3">
      <c r="A46" s="155">
        <v>20</v>
      </c>
      <c r="B46" s="141" t="s">
        <v>93</v>
      </c>
      <c r="C46" s="142" t="s">
        <v>45</v>
      </c>
      <c r="D46" s="142" t="s">
        <v>58</v>
      </c>
      <c r="E46" s="177" t="s">
        <v>119</v>
      </c>
      <c r="F46" s="190">
        <v>126.96513400000001</v>
      </c>
      <c r="G46" s="190">
        <v>-8.5304369999999992</v>
      </c>
      <c r="H46" s="204">
        <v>126.927727</v>
      </c>
      <c r="I46" s="204">
        <v>-8.5332489999999996</v>
      </c>
      <c r="J46" s="205">
        <v>5.8</v>
      </c>
      <c r="K46" s="206" t="s">
        <v>144</v>
      </c>
      <c r="L46" s="207" t="s">
        <v>25</v>
      </c>
      <c r="M46" s="205">
        <v>4111</v>
      </c>
      <c r="N46" s="205">
        <f>43.4</f>
        <v>43.4</v>
      </c>
      <c r="O46" s="165">
        <f t="shared" si="12"/>
        <v>13.17</v>
      </c>
      <c r="P46" s="135">
        <f t="shared" si="13"/>
        <v>1247.5085253456223</v>
      </c>
      <c r="Q46" s="180">
        <f t="shared" si="15"/>
        <v>0</v>
      </c>
      <c r="R46" s="149"/>
      <c r="S46" s="208">
        <v>5000</v>
      </c>
      <c r="T46" s="142"/>
      <c r="U46" s="181">
        <v>20</v>
      </c>
      <c r="V46" s="148"/>
      <c r="W46" s="165"/>
      <c r="X46" s="148"/>
      <c r="Y46" s="165"/>
      <c r="Z46" s="151">
        <f>5000*AA46</f>
        <v>29000</v>
      </c>
      <c r="AA46" s="193">
        <f>J46</f>
        <v>5.8</v>
      </c>
      <c r="AB46" s="202">
        <f>5000*AC46</f>
        <v>29000</v>
      </c>
      <c r="AC46" s="150">
        <f>AA46</f>
        <v>5.8</v>
      </c>
      <c r="AD46" s="202">
        <f>5000*AE46</f>
        <v>29000</v>
      </c>
      <c r="AE46" s="151">
        <f>AC46</f>
        <v>5.8</v>
      </c>
      <c r="AF46" s="202">
        <f>5000*AG46</f>
        <v>29000</v>
      </c>
      <c r="AG46" s="151">
        <f>AE46</f>
        <v>5.8</v>
      </c>
      <c r="AH46" s="188">
        <f>5000*AI46</f>
        <v>29000</v>
      </c>
      <c r="AI46" s="197">
        <f>AG46</f>
        <v>5.8</v>
      </c>
      <c r="AJ46" s="154"/>
      <c r="AK46" s="239"/>
    </row>
    <row r="47" spans="1:37" ht="48.65" customHeight="1" x14ac:dyDescent="0.3">
      <c r="A47" s="155">
        <v>21</v>
      </c>
      <c r="B47" s="160" t="s">
        <v>91</v>
      </c>
      <c r="C47" s="142" t="s">
        <v>44</v>
      </c>
      <c r="D47" s="142" t="s">
        <v>121</v>
      </c>
      <c r="E47" s="161" t="s">
        <v>116</v>
      </c>
      <c r="F47" s="190">
        <v>126.918738</v>
      </c>
      <c r="G47" s="190">
        <v>-8.3512190000000004</v>
      </c>
      <c r="H47" s="190">
        <v>126.93129999999999</v>
      </c>
      <c r="I47" s="190">
        <v>-8.3599370000000004</v>
      </c>
      <c r="J47" s="145">
        <v>2.1</v>
      </c>
      <c r="K47" s="143" t="s">
        <v>135</v>
      </c>
      <c r="L47" s="201" t="s">
        <v>25</v>
      </c>
      <c r="M47" s="145">
        <v>3345</v>
      </c>
      <c r="N47" s="145">
        <v>82.14</v>
      </c>
      <c r="O47" s="165">
        <f t="shared" si="12"/>
        <v>5.7700000000000005</v>
      </c>
      <c r="P47" s="135">
        <f t="shared" si="13"/>
        <v>234.97260774287804</v>
      </c>
      <c r="Q47" s="180">
        <f t="shared" si="15"/>
        <v>0</v>
      </c>
      <c r="R47" s="149"/>
      <c r="S47" s="149">
        <v>5000</v>
      </c>
      <c r="T47" s="142"/>
      <c r="U47" s="209">
        <v>21</v>
      </c>
      <c r="V47" s="218"/>
      <c r="W47" s="210"/>
      <c r="X47" s="218"/>
      <c r="Y47" s="219"/>
      <c r="Z47" s="151">
        <f>5000*AA47</f>
        <v>10500</v>
      </c>
      <c r="AA47" s="193">
        <f>J47</f>
        <v>2.1</v>
      </c>
      <c r="AB47" s="202">
        <f>5000*AC47</f>
        <v>10500</v>
      </c>
      <c r="AC47" s="150">
        <f>AA47</f>
        <v>2.1</v>
      </c>
      <c r="AD47" s="202">
        <f>5000*AE47</f>
        <v>10500</v>
      </c>
      <c r="AE47" s="151">
        <f>AC47</f>
        <v>2.1</v>
      </c>
      <c r="AF47" s="202">
        <f t="shared" ref="AF47" si="17">5000*AG47</f>
        <v>10500</v>
      </c>
      <c r="AG47" s="151">
        <f>AE47</f>
        <v>2.1</v>
      </c>
      <c r="AH47" s="188">
        <f>5000*AI47</f>
        <v>10500</v>
      </c>
      <c r="AI47" s="197">
        <f>AG47</f>
        <v>2.1</v>
      </c>
      <c r="AJ47" s="211"/>
      <c r="AK47" s="239"/>
    </row>
    <row r="48" spans="1:37" ht="48.65" customHeight="1" thickBot="1" x14ac:dyDescent="0.35">
      <c r="A48" s="155">
        <v>22</v>
      </c>
      <c r="B48" s="242" t="s">
        <v>87</v>
      </c>
      <c r="C48" s="243" t="s">
        <v>94</v>
      </c>
      <c r="D48" s="243" t="s">
        <v>94</v>
      </c>
      <c r="E48" s="244" t="s">
        <v>111</v>
      </c>
      <c r="F48" s="245">
        <v>127.255039</v>
      </c>
      <c r="G48" s="245">
        <v>-8.3953900000000008</v>
      </c>
      <c r="H48" s="245">
        <v>127.300624</v>
      </c>
      <c r="I48" s="245">
        <v>-8.4146269999999994</v>
      </c>
      <c r="J48" s="242">
        <v>8</v>
      </c>
      <c r="K48" s="244" t="s">
        <v>135</v>
      </c>
      <c r="L48" s="246" t="s">
        <v>25</v>
      </c>
      <c r="M48" s="242">
        <v>1989</v>
      </c>
      <c r="N48" s="242">
        <v>119.69</v>
      </c>
      <c r="O48" s="247">
        <f t="shared" si="12"/>
        <v>17.57</v>
      </c>
      <c r="P48" s="248">
        <f t="shared" si="13"/>
        <v>291.97702397861138</v>
      </c>
      <c r="Q48" s="249">
        <f t="shared" si="15"/>
        <v>0</v>
      </c>
      <c r="R48" s="250"/>
      <c r="S48" s="250">
        <v>5000</v>
      </c>
      <c r="T48" s="243"/>
      <c r="U48" s="251">
        <v>22</v>
      </c>
      <c r="V48" s="252"/>
      <c r="W48" s="247"/>
      <c r="X48" s="252"/>
      <c r="Y48" s="247"/>
      <c r="Z48" s="253">
        <f>5000*AA48</f>
        <v>40000</v>
      </c>
      <c r="AA48" s="254">
        <f>J48</f>
        <v>8</v>
      </c>
      <c r="AB48" s="255">
        <f>5000*AC48</f>
        <v>40000</v>
      </c>
      <c r="AC48" s="256">
        <f>AA48</f>
        <v>8</v>
      </c>
      <c r="AD48" s="255">
        <f>5000*AE48</f>
        <v>40000</v>
      </c>
      <c r="AE48" s="253">
        <f>AC48</f>
        <v>8</v>
      </c>
      <c r="AF48" s="202">
        <f>5000*AG48</f>
        <v>40000</v>
      </c>
      <c r="AG48" s="253">
        <f>AE48</f>
        <v>8</v>
      </c>
      <c r="AH48" s="259">
        <f>5000*AI48</f>
        <v>40000</v>
      </c>
      <c r="AI48" s="260">
        <f>AG48</f>
        <v>8</v>
      </c>
      <c r="AJ48" s="261"/>
      <c r="AK48" s="262"/>
    </row>
    <row r="49" spans="1:37" ht="36.65" customHeight="1" x14ac:dyDescent="0.45">
      <c r="A49" s="923" t="s">
        <v>142</v>
      </c>
      <c r="B49" s="924"/>
      <c r="C49" s="924"/>
      <c r="D49" s="924"/>
      <c r="E49" s="924"/>
      <c r="F49" s="924"/>
      <c r="G49" s="924"/>
      <c r="H49" s="924"/>
      <c r="I49" s="924"/>
      <c r="J49" s="924"/>
      <c r="K49" s="925"/>
      <c r="L49" s="112" t="s">
        <v>17</v>
      </c>
      <c r="M49" s="103"/>
      <c r="N49" s="103"/>
      <c r="O49" s="103"/>
      <c r="P49" s="103"/>
      <c r="Q49" s="103"/>
      <c r="R49" s="103"/>
      <c r="S49" s="103"/>
      <c r="T49" s="104"/>
      <c r="U49" s="105"/>
      <c r="V49" s="113">
        <v>0</v>
      </c>
      <c r="W49" s="113">
        <v>0</v>
      </c>
      <c r="X49" s="113">
        <v>0</v>
      </c>
      <c r="Y49" s="113">
        <v>0</v>
      </c>
      <c r="Z49" s="114">
        <f>SUM(Z9:Z25)+Z46+Z47+Z48</f>
        <v>379250</v>
      </c>
      <c r="AA49" s="115">
        <f>SUM(AA9:AA25)+SUM(AA45:AA48)</f>
        <v>75.850000000000009</v>
      </c>
      <c r="AB49" s="114">
        <f>SUM(AB10:AB25)+SUM(AB45:AB48)+AB33</f>
        <v>351750</v>
      </c>
      <c r="AC49" s="115">
        <f>SUM(AC9:AC25)+SUM(AC45:AC48)+AC33</f>
        <v>77.350000000000009</v>
      </c>
      <c r="AD49" s="116">
        <f>SUM(AD9:AD25)+AD29+AD30+AD33+AD46+AD47+AD48</f>
        <v>431500</v>
      </c>
      <c r="AE49" s="117">
        <f>SUM(AE9:AE25)+AE29+AE30+AE33+AE35+SUM(AE45:AE48)</f>
        <v>86.300000000000026</v>
      </c>
      <c r="AF49" s="116">
        <f>SUM(AF9:AF25)+AF29+AF30+AF33+AF46+AF47+AF48</f>
        <v>431500</v>
      </c>
      <c r="AG49" s="116">
        <f>SUM(AG9:AG25)+AG29+AG30+AG33+AG46+AG47+AG48</f>
        <v>86.300000000000011</v>
      </c>
      <c r="AH49" s="116">
        <f>SUM(AH9:AH25)+AH29+AH30+AH33+AH46+AH47+AH48</f>
        <v>431500</v>
      </c>
      <c r="AI49" s="118">
        <f>SUM(AI9:AI25)+AI27+AI28+AI29+AI30+AI33+AI46+AI47+AI48</f>
        <v>102.20000000000002</v>
      </c>
      <c r="AJ49" s="119">
        <f>V49+X49+Z49+AB49+AD49+AF49+AH49</f>
        <v>2025500</v>
      </c>
      <c r="AK49" s="266">
        <f>W49+Y49+AA49+AC49+AE49+AG49+AI49</f>
        <v>428.00000000000011</v>
      </c>
    </row>
    <row r="50" spans="1:37" ht="36.65" customHeight="1" x14ac:dyDescent="0.45">
      <c r="A50" s="926"/>
      <c r="B50" s="927"/>
      <c r="C50" s="927"/>
      <c r="D50" s="927"/>
      <c r="E50" s="927"/>
      <c r="F50" s="927"/>
      <c r="G50" s="927"/>
      <c r="H50" s="927"/>
      <c r="I50" s="927"/>
      <c r="J50" s="927"/>
      <c r="K50" s="928"/>
      <c r="L50" s="120" t="s">
        <v>18</v>
      </c>
      <c r="M50" s="102"/>
      <c r="N50" s="102"/>
      <c r="O50" s="102"/>
      <c r="P50" s="102"/>
      <c r="Q50" s="102"/>
      <c r="R50" s="102"/>
      <c r="S50" s="102"/>
      <c r="T50" s="106"/>
      <c r="U50" s="107"/>
      <c r="V50" s="121">
        <v>0</v>
      </c>
      <c r="W50" s="121">
        <v>0</v>
      </c>
      <c r="X50" s="121">
        <v>0</v>
      </c>
      <c r="Y50" s="121">
        <v>0</v>
      </c>
      <c r="Z50" s="121">
        <v>0</v>
      </c>
      <c r="AA50" s="121">
        <v>0</v>
      </c>
      <c r="AB50" s="121">
        <v>0</v>
      </c>
      <c r="AC50" s="122">
        <v>0</v>
      </c>
      <c r="AD50" s="123">
        <v>0</v>
      </c>
      <c r="AE50" s="123">
        <v>0</v>
      </c>
      <c r="AF50" s="123"/>
      <c r="AG50" s="123"/>
      <c r="AH50" s="123">
        <v>0</v>
      </c>
      <c r="AI50" s="124">
        <v>0</v>
      </c>
      <c r="AJ50" s="125">
        <f t="shared" ref="AJ50:AK51" si="18">V50+X50+Z50+AB50+AD50+AF50+AH50</f>
        <v>0</v>
      </c>
      <c r="AK50" s="267">
        <f t="shared" si="18"/>
        <v>0</v>
      </c>
    </row>
    <row r="51" spans="1:37" ht="36.65" customHeight="1" x14ac:dyDescent="0.45">
      <c r="A51" s="926"/>
      <c r="B51" s="927"/>
      <c r="C51" s="927"/>
      <c r="D51" s="927"/>
      <c r="E51" s="927"/>
      <c r="F51" s="927"/>
      <c r="G51" s="927"/>
      <c r="H51" s="927"/>
      <c r="I51" s="927"/>
      <c r="J51" s="927"/>
      <c r="K51" s="928"/>
      <c r="L51" s="126" t="s">
        <v>19</v>
      </c>
      <c r="M51" s="102"/>
      <c r="N51" s="102"/>
      <c r="O51" s="102"/>
      <c r="P51" s="102"/>
      <c r="Q51" s="102"/>
      <c r="R51" s="102"/>
      <c r="S51" s="102"/>
      <c r="T51" s="106"/>
      <c r="U51" s="108"/>
      <c r="V51" s="127">
        <v>0</v>
      </c>
      <c r="W51" s="127">
        <v>0</v>
      </c>
      <c r="X51" s="127">
        <v>0</v>
      </c>
      <c r="Y51" s="127">
        <v>0</v>
      </c>
      <c r="Z51" s="128">
        <f>Z27+Z28+Z31+Z33+Z34</f>
        <v>1130250</v>
      </c>
      <c r="AA51" s="129">
        <f>AA27+AA28+AA33</f>
        <v>5.48</v>
      </c>
      <c r="AB51" s="128">
        <f t="shared" ref="AB51:AG51" si="19">AB27+AB28+AB31</f>
        <v>1155000</v>
      </c>
      <c r="AC51" s="129">
        <f t="shared" si="19"/>
        <v>5.6</v>
      </c>
      <c r="AD51" s="128">
        <f t="shared" si="19"/>
        <v>1072500</v>
      </c>
      <c r="AE51" s="128">
        <f t="shared" si="19"/>
        <v>5.2</v>
      </c>
      <c r="AF51" s="128">
        <f t="shared" si="19"/>
        <v>1076625</v>
      </c>
      <c r="AG51" s="128">
        <f t="shared" si="19"/>
        <v>5.22</v>
      </c>
      <c r="AH51" s="128">
        <f>AH31+AH32+AH34</f>
        <v>1072500</v>
      </c>
      <c r="AI51" s="129">
        <f>AI31+AI32+AI34</f>
        <v>4.7</v>
      </c>
      <c r="AJ51" s="130">
        <f t="shared" si="18"/>
        <v>5506875</v>
      </c>
      <c r="AK51" s="268">
        <f>W51+Y51+AA51+AC51+AE51+AG51+AI51</f>
        <v>26.2</v>
      </c>
    </row>
    <row r="52" spans="1:37" ht="36.65" customHeight="1" thickBot="1" x14ac:dyDescent="0.35">
      <c r="A52" s="929"/>
      <c r="B52" s="930"/>
      <c r="C52" s="930"/>
      <c r="D52" s="930"/>
      <c r="E52" s="930"/>
      <c r="F52" s="930"/>
      <c r="G52" s="930"/>
      <c r="H52" s="930"/>
      <c r="I52" s="930"/>
      <c r="J52" s="930"/>
      <c r="K52" s="931"/>
      <c r="L52" s="131" t="s">
        <v>20</v>
      </c>
      <c r="M52" s="109"/>
      <c r="N52" s="109"/>
      <c r="O52" s="109"/>
      <c r="P52" s="109"/>
      <c r="Q52" s="109"/>
      <c r="R52" s="109"/>
      <c r="S52" s="109"/>
      <c r="T52" s="132">
        <f>SUM(T9:T51)</f>
        <v>5506875</v>
      </c>
      <c r="U52" s="111"/>
      <c r="V52" s="132">
        <f>SUM(V49:V51)</f>
        <v>0</v>
      </c>
      <c r="W52" s="132">
        <f t="shared" ref="W52:AI52" si="20">SUM(W49:W51)</f>
        <v>0</v>
      </c>
      <c r="X52" s="132">
        <f t="shared" si="20"/>
        <v>0</v>
      </c>
      <c r="Y52" s="132">
        <f t="shared" si="20"/>
        <v>0</v>
      </c>
      <c r="Z52" s="132">
        <f t="shared" si="20"/>
        <v>1509500</v>
      </c>
      <c r="AA52" s="132">
        <f t="shared" si="20"/>
        <v>81.330000000000013</v>
      </c>
      <c r="AB52" s="132">
        <f t="shared" si="20"/>
        <v>1506750</v>
      </c>
      <c r="AC52" s="132">
        <f t="shared" si="20"/>
        <v>82.95</v>
      </c>
      <c r="AD52" s="132">
        <f>SUM(AD49:AD51)</f>
        <v>1504000</v>
      </c>
      <c r="AE52" s="132">
        <f t="shared" si="20"/>
        <v>91.500000000000028</v>
      </c>
      <c r="AF52" s="132">
        <f>SUM(AF49:AF51)</f>
        <v>1508125</v>
      </c>
      <c r="AG52" s="132">
        <f t="shared" si="20"/>
        <v>91.52000000000001</v>
      </c>
      <c r="AH52" s="132">
        <f t="shared" si="20"/>
        <v>1504000</v>
      </c>
      <c r="AI52" s="132">
        <f t="shared" si="20"/>
        <v>106.90000000000002</v>
      </c>
      <c r="AJ52" s="133">
        <f>SUM(AJ49:AJ51)</f>
        <v>7532375</v>
      </c>
      <c r="AK52" s="269">
        <f>SUM(AK49:AK51)</f>
        <v>454.2000000000001</v>
      </c>
    </row>
    <row r="53" spans="1:37" ht="18" x14ac:dyDescent="0.4">
      <c r="J53" s="100"/>
    </row>
    <row r="54" spans="1:37" ht="18" x14ac:dyDescent="0.4">
      <c r="J54" s="100"/>
    </row>
  </sheetData>
  <mergeCells count="54"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Y7:Y8"/>
    <mergeCell ref="Z7:Z8"/>
    <mergeCell ref="AE7:AE8"/>
    <mergeCell ref="AF7:AF8"/>
    <mergeCell ref="AB5:AC6"/>
    <mergeCell ref="AD5:AE6"/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</mergeCells>
  <printOptions horizontalCentered="1" verticalCentered="1"/>
  <pageMargins left="0.7" right="0.7" top="0.75" bottom="0.75" header="0.3" footer="0.3"/>
  <pageSetup paperSize="8" scale="3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Training Part 1(Baucau)</vt:lpstr>
      <vt:lpstr>Training Part 2 (Lautem)</vt:lpstr>
      <vt:lpstr>Training Part 3 (Same)</vt:lpstr>
      <vt:lpstr>Dadus Estrad. Jan-Mar, 26</vt:lpstr>
      <vt:lpstr>POSTU ADM LOSPALOS</vt:lpstr>
      <vt:lpstr>POSTU ADM LURO</vt:lpstr>
      <vt:lpstr>POSTU ADM ILIOMAR</vt:lpstr>
      <vt:lpstr>POSTU ADM LAUTEM</vt:lpstr>
      <vt:lpstr>POSTU ADM LORE</vt:lpstr>
      <vt:lpstr>POSTU ADM TUTUALA</vt:lpstr>
      <vt:lpstr>RRMPIS LAUTEM BUDGET $1M</vt:lpstr>
      <vt:lpstr>RRMPIS LAUTEM BUDGET $1.5M</vt:lpstr>
    </vt:vector>
  </TitlesOfParts>
  <Company>ILO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Day, Vanda</dc:creator>
  <cp:lastModifiedBy>smop lospalos</cp:lastModifiedBy>
  <cp:lastPrinted>2026-03-10T04:12:25Z</cp:lastPrinted>
  <dcterms:created xsi:type="dcterms:W3CDTF">2022-01-26T00:47:14Z</dcterms:created>
  <dcterms:modified xsi:type="dcterms:W3CDTF">2026-03-12T01:31:47Z</dcterms:modified>
</cp:coreProperties>
</file>