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DADUS ESTRADA ANIVEL M. LAUTEM\"/>
    </mc:Choice>
  </mc:AlternateContent>
  <xr:revisionPtr revIDLastSave="0" documentId="13_ncr:1_{8367E69F-3E7D-48C6-913F-73606007E5C0}" xr6:coauthVersionLast="47" xr6:coauthVersionMax="47" xr10:uidLastSave="{00000000-0000-0000-0000-000000000000}"/>
  <bookViews>
    <workbookView xWindow="-110" yWindow="-110" windowWidth="19420" windowHeight="10300" tabRatio="817" firstSheet="3" activeTab="3" xr2:uid="{00000000-000D-0000-FFFF-FFFF00000000}"/>
  </bookViews>
  <sheets>
    <sheet name="Training Part 1(Baucau)" sheetId="13" state="hidden" r:id="rId1"/>
    <sheet name="Training Part 2 (Lautem)" sheetId="12" state="hidden" r:id="rId2"/>
    <sheet name="Training Part 3 (Same)" sheetId="14" state="hidden" r:id="rId3"/>
    <sheet name="ESTRADA MUNICIPAL" sheetId="31" r:id="rId4"/>
    <sheet name="RRMPIS LAUTEM BUDGET $1M" sheetId="15" state="hidden" r:id="rId5"/>
    <sheet name="RRMPIS LAUTEM BUDGET $1.5M" sheetId="18" state="hidden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Z34" i="31" l="1"/>
  <c r="Z31" i="31"/>
  <c r="Z28" i="31"/>
  <c r="Z29" i="31"/>
  <c r="Z30" i="31"/>
  <c r="Z27" i="31"/>
  <c r="Y31" i="31"/>
  <c r="X31" i="31"/>
  <c r="X34" i="31" s="1"/>
  <c r="W31" i="31"/>
  <c r="V31" i="31"/>
  <c r="M32" i="31"/>
  <c r="W34" i="31"/>
  <c r="M31" i="31"/>
  <c r="M34" i="31" s="1"/>
  <c r="J31" i="31"/>
  <c r="Y30" i="31"/>
  <c r="Y29" i="31"/>
  <c r="Y28" i="31"/>
  <c r="O28" i="31"/>
  <c r="N28" i="31"/>
  <c r="M28" i="31"/>
  <c r="P28" i="31" s="1"/>
  <c r="Q28" i="31" s="1"/>
  <c r="Y27" i="31"/>
  <c r="T27" i="31"/>
  <c r="O27" i="31"/>
  <c r="N27" i="31"/>
  <c r="M27" i="31"/>
  <c r="Y25" i="31"/>
  <c r="X25" i="31"/>
  <c r="Y24" i="31"/>
  <c r="X24" i="31"/>
  <c r="Y23" i="31"/>
  <c r="X23" i="31"/>
  <c r="Y22" i="31"/>
  <c r="X22" i="31"/>
  <c r="N22" i="31"/>
  <c r="M22" i="31"/>
  <c r="Y21" i="31"/>
  <c r="X21" i="31"/>
  <c r="N21" i="31"/>
  <c r="M21" i="31"/>
  <c r="Y20" i="31"/>
  <c r="X20" i="31"/>
  <c r="Y19" i="31"/>
  <c r="Y18" i="31"/>
  <c r="N18" i="31"/>
  <c r="M18" i="31"/>
  <c r="Y17" i="31"/>
  <c r="N17" i="31"/>
  <c r="M17" i="31"/>
  <c r="Y16" i="31"/>
  <c r="Y15" i="31"/>
  <c r="X15" i="31"/>
  <c r="N15" i="31"/>
  <c r="M15" i="31"/>
  <c r="Y14" i="31"/>
  <c r="N14" i="31"/>
  <c r="M14" i="31"/>
  <c r="Y13" i="31"/>
  <c r="X13" i="31"/>
  <c r="N13" i="31"/>
  <c r="M13" i="31"/>
  <c r="Y12" i="31"/>
  <c r="X12" i="31"/>
  <c r="N12" i="31"/>
  <c r="M12" i="31"/>
  <c r="Y11" i="31"/>
  <c r="X11" i="31"/>
  <c r="Y10" i="31"/>
  <c r="X10" i="31"/>
  <c r="N10" i="31"/>
  <c r="M10" i="31"/>
  <c r="Y9" i="31"/>
  <c r="X9" i="31"/>
  <c r="N9" i="31"/>
  <c r="M9" i="31"/>
  <c r="O2" i="31"/>
  <c r="V34" i="31" l="1"/>
  <c r="Y34" i="31"/>
  <c r="P27" i="31"/>
  <c r="Q27" i="31" s="1"/>
  <c r="O24" i="31"/>
  <c r="P24" i="31" s="1"/>
  <c r="O23" i="31"/>
  <c r="P23" i="31" s="1"/>
  <c r="O22" i="31"/>
  <c r="P22" i="31" s="1"/>
  <c r="O21" i="31"/>
  <c r="P21" i="31" s="1"/>
  <c r="O18" i="31"/>
  <c r="P18" i="31" s="1"/>
  <c r="O17" i="31"/>
  <c r="P17" i="31" s="1"/>
  <c r="O16" i="31"/>
  <c r="P16" i="31" s="1"/>
  <c r="O15" i="31"/>
  <c r="P15" i="31" s="1"/>
  <c r="O14" i="31"/>
  <c r="P14" i="31" s="1"/>
  <c r="O13" i="31"/>
  <c r="P13" i="31" s="1"/>
  <c r="O12" i="31"/>
  <c r="P12" i="31" s="1"/>
  <c r="O11" i="31"/>
  <c r="P11" i="31" s="1"/>
  <c r="O10" i="31"/>
  <c r="P10" i="31" s="1"/>
  <c r="O9" i="31"/>
  <c r="P9" i="31" s="1"/>
  <c r="O19" i="31"/>
  <c r="P19" i="31" s="1"/>
  <c r="O20" i="31"/>
  <c r="P20" i="31" s="1"/>
  <c r="O25" i="31"/>
  <c r="P25" i="31" s="1"/>
  <c r="F52" i="13" l="1"/>
  <c r="F22" i="13"/>
  <c r="AI51" i="18" l="1"/>
  <c r="AG51" i="18"/>
  <c r="AC51" i="18"/>
  <c r="AA51" i="18"/>
  <c r="AH34" i="18"/>
  <c r="T34" i="18" s="1"/>
  <c r="AH32" i="18"/>
  <c r="T32" i="18" s="1"/>
  <c r="AH31" i="18"/>
  <c r="AF31" i="18"/>
  <c r="AH28" i="18"/>
  <c r="AB31" i="18"/>
  <c r="T31" i="18" s="1"/>
  <c r="AD31" i="18"/>
  <c r="AH27" i="18"/>
  <c r="AF28" i="18"/>
  <c r="AD28" i="18"/>
  <c r="Z28" i="18"/>
  <c r="T28" i="18" s="1"/>
  <c r="AB28" i="18"/>
  <c r="AI51" i="15"/>
  <c r="AH51" i="18" l="1"/>
  <c r="AF51" i="18"/>
  <c r="Y52" i="18"/>
  <c r="X52" i="18"/>
  <c r="W52" i="18"/>
  <c r="V52" i="18"/>
  <c r="AK50" i="18"/>
  <c r="AJ50" i="18"/>
  <c r="AA48" i="18"/>
  <c r="AC48" i="18" s="1"/>
  <c r="AA47" i="18"/>
  <c r="AA46" i="18"/>
  <c r="N46" i="18"/>
  <c r="P46" i="18" s="1"/>
  <c r="Q46" i="18" s="1"/>
  <c r="O44" i="18"/>
  <c r="P44" i="18" s="1"/>
  <c r="Q44" i="18" s="1"/>
  <c r="O43" i="18"/>
  <c r="P43" i="18" s="1"/>
  <c r="Q43" i="18" s="1"/>
  <c r="N41" i="18"/>
  <c r="M41" i="18"/>
  <c r="N36" i="18"/>
  <c r="M36" i="18"/>
  <c r="AH33" i="18"/>
  <c r="AF33" i="18"/>
  <c r="AD33" i="18"/>
  <c r="AB33" i="18"/>
  <c r="Z33" i="18"/>
  <c r="T33" i="18" s="1"/>
  <c r="N33" i="18"/>
  <c r="M33" i="18"/>
  <c r="N32" i="18"/>
  <c r="M32" i="18"/>
  <c r="AH30" i="18"/>
  <c r="AF30" i="18"/>
  <c r="AD30" i="18"/>
  <c r="AH29" i="18"/>
  <c r="AF29" i="18"/>
  <c r="AD29" i="18"/>
  <c r="N29" i="18"/>
  <c r="M29" i="18"/>
  <c r="N28" i="18"/>
  <c r="M28" i="18"/>
  <c r="AF27" i="18"/>
  <c r="Z27" i="18"/>
  <c r="N27" i="18"/>
  <c r="M27" i="18"/>
  <c r="AA25" i="18"/>
  <c r="AC25" i="18" s="1"/>
  <c r="Z25" i="18"/>
  <c r="AA24" i="18"/>
  <c r="AA23" i="18"/>
  <c r="AA22" i="18"/>
  <c r="AC22" i="18" s="1"/>
  <c r="Z22" i="18"/>
  <c r="N22" i="18"/>
  <c r="M22" i="18"/>
  <c r="AA21" i="18"/>
  <c r="AC21" i="18" s="1"/>
  <c r="Z21" i="18"/>
  <c r="N21" i="18"/>
  <c r="M21" i="18"/>
  <c r="AA20" i="18"/>
  <c r="AC20" i="18" s="1"/>
  <c r="Z20" i="18"/>
  <c r="AA19" i="18"/>
  <c r="AC19" i="18" s="1"/>
  <c r="Z19" i="18"/>
  <c r="AA18" i="18"/>
  <c r="AC18" i="18" s="1"/>
  <c r="Z18" i="18"/>
  <c r="N18" i="18"/>
  <c r="M18" i="18"/>
  <c r="AA17" i="18"/>
  <c r="N17" i="18"/>
  <c r="M17" i="18"/>
  <c r="AA16" i="18"/>
  <c r="AC16" i="18" s="1"/>
  <c r="Z16" i="18"/>
  <c r="AA15" i="18"/>
  <c r="AC15" i="18" s="1"/>
  <c r="Z15" i="18"/>
  <c r="N15" i="18"/>
  <c r="M15" i="18"/>
  <c r="AA14" i="18"/>
  <c r="O14" i="18"/>
  <c r="P14" i="18" s="1"/>
  <c r="N14" i="18"/>
  <c r="M14" i="18"/>
  <c r="AA13" i="18"/>
  <c r="AC13" i="18" s="1"/>
  <c r="Z13" i="18"/>
  <c r="N13" i="18"/>
  <c r="M13" i="18"/>
  <c r="AA12" i="18"/>
  <c r="O12" i="18"/>
  <c r="N12" i="18"/>
  <c r="M12" i="18"/>
  <c r="AA11" i="18"/>
  <c r="AC11" i="18" s="1"/>
  <c r="Z11" i="18"/>
  <c r="AA10" i="18"/>
  <c r="AC10" i="18" s="1"/>
  <c r="Z10" i="18"/>
  <c r="N10" i="18"/>
  <c r="M10" i="18"/>
  <c r="AA9" i="18"/>
  <c r="Z9" i="18"/>
  <c r="N9" i="18"/>
  <c r="M9" i="18"/>
  <c r="O2" i="18"/>
  <c r="AH28" i="15"/>
  <c r="AH51" i="15" s="1"/>
  <c r="AH27" i="15"/>
  <c r="AF27" i="15"/>
  <c r="AB33" i="15"/>
  <c r="AA51" i="15"/>
  <c r="Z33" i="15"/>
  <c r="T33" i="15" s="1"/>
  <c r="P21" i="18" l="1"/>
  <c r="P12" i="18"/>
  <c r="P9" i="18"/>
  <c r="Z46" i="18"/>
  <c r="AC46" i="18"/>
  <c r="Z51" i="18"/>
  <c r="Z24" i="18"/>
  <c r="AC24" i="18"/>
  <c r="AC23" i="18"/>
  <c r="Z23" i="18"/>
  <c r="AE22" i="18"/>
  <c r="AB22" i="18"/>
  <c r="AE21" i="18"/>
  <c r="AB21" i="18"/>
  <c r="AE19" i="18"/>
  <c r="AB19" i="18"/>
  <c r="AC12" i="18"/>
  <c r="Z12" i="18"/>
  <c r="AC9" i="18"/>
  <c r="AA49" i="18"/>
  <c r="O46" i="18"/>
  <c r="O30" i="18"/>
  <c r="P30" i="18" s="1"/>
  <c r="Q30" i="18" s="1"/>
  <c r="O28" i="18"/>
  <c r="P28" i="18" s="1"/>
  <c r="Q28" i="18" s="1"/>
  <c r="O21" i="18"/>
  <c r="O17" i="18"/>
  <c r="P17" i="18" s="1"/>
  <c r="O9" i="18"/>
  <c r="AE27" i="18"/>
  <c r="AE51" i="18" s="1"/>
  <c r="AB27" i="18"/>
  <c r="AB51" i="18" s="1"/>
  <c r="P10" i="18"/>
  <c r="AB25" i="18"/>
  <c r="AE25" i="18"/>
  <c r="AB18" i="18"/>
  <c r="AE18" i="18"/>
  <c r="Z17" i="18"/>
  <c r="AC17" i="18"/>
  <c r="AE13" i="18"/>
  <c r="AB13" i="18"/>
  <c r="AB23" i="18"/>
  <c r="AE23" i="18"/>
  <c r="AE46" i="18"/>
  <c r="AB46" i="18"/>
  <c r="AB20" i="18"/>
  <c r="AE20" i="18"/>
  <c r="AA52" i="18"/>
  <c r="AE10" i="18"/>
  <c r="AB10" i="18"/>
  <c r="AB15" i="18"/>
  <c r="AE15" i="18"/>
  <c r="Z14" i="18"/>
  <c r="AC14" i="18"/>
  <c r="AB48" i="18"/>
  <c r="AE48" i="18"/>
  <c r="AE16" i="18"/>
  <c r="AB16" i="18"/>
  <c r="P33" i="18"/>
  <c r="Q33" i="18" s="1"/>
  <c r="AB11" i="18"/>
  <c r="AE11" i="18"/>
  <c r="AD21" i="18"/>
  <c r="AG21" i="18"/>
  <c r="AD27" i="18"/>
  <c r="Z47" i="18"/>
  <c r="AC47" i="18"/>
  <c r="O29" i="18"/>
  <c r="P29" i="18" s="1"/>
  <c r="Q29" i="18" s="1"/>
  <c r="O40" i="18"/>
  <c r="P40" i="18" s="1"/>
  <c r="Q40" i="18" s="1"/>
  <c r="O42" i="18"/>
  <c r="P42" i="18" s="1"/>
  <c r="Q42" i="18" s="1"/>
  <c r="O32" i="18"/>
  <c r="P32" i="18" s="1"/>
  <c r="Q32" i="18" s="1"/>
  <c r="O45" i="18"/>
  <c r="P45" i="18" s="1"/>
  <c r="Q45" i="18" s="1"/>
  <c r="O27" i="18"/>
  <c r="P27" i="18" s="1"/>
  <c r="Q27" i="18" s="1"/>
  <c r="O35" i="18"/>
  <c r="P35" i="18" s="1"/>
  <c r="Q35" i="18" s="1"/>
  <c r="O37" i="18"/>
  <c r="P37" i="18" s="1"/>
  <c r="Q37" i="18" s="1"/>
  <c r="O48" i="18"/>
  <c r="P48" i="18" s="1"/>
  <c r="Q48" i="18" s="1"/>
  <c r="O11" i="18"/>
  <c r="P11" i="18" s="1"/>
  <c r="O15" i="18"/>
  <c r="P15" i="18" s="1"/>
  <c r="O18" i="18"/>
  <c r="P18" i="18" s="1"/>
  <c r="O20" i="18"/>
  <c r="P20" i="18" s="1"/>
  <c r="O23" i="18"/>
  <c r="P23" i="18" s="1"/>
  <c r="O25" i="18"/>
  <c r="P25" i="18" s="1"/>
  <c r="O38" i="18"/>
  <c r="P38" i="18" s="1"/>
  <c r="Q38" i="18" s="1"/>
  <c r="O47" i="18"/>
  <c r="P47" i="18" s="1"/>
  <c r="Q47" i="18" s="1"/>
  <c r="Z48" i="18"/>
  <c r="O31" i="18"/>
  <c r="P31" i="18" s="1"/>
  <c r="Q31" i="18" s="1"/>
  <c r="O33" i="18"/>
  <c r="O34" i="18"/>
  <c r="P34" i="18" s="1"/>
  <c r="Q34" i="18" s="1"/>
  <c r="O36" i="18"/>
  <c r="P36" i="18" s="1"/>
  <c r="Q36" i="18" s="1"/>
  <c r="O10" i="18"/>
  <c r="O13" i="18"/>
  <c r="P13" i="18" s="1"/>
  <c r="O16" i="18"/>
  <c r="P16" i="18" s="1"/>
  <c r="O19" i="18"/>
  <c r="P19" i="18" s="1"/>
  <c r="O22" i="18"/>
  <c r="P22" i="18" s="1"/>
  <c r="O24" i="18"/>
  <c r="P24" i="18" s="1"/>
  <c r="O39" i="18"/>
  <c r="P39" i="18" s="1"/>
  <c r="Q39" i="18" s="1"/>
  <c r="O41" i="18"/>
  <c r="P41" i="18" s="1"/>
  <c r="Q41" i="18" s="1"/>
  <c r="AE24" i="18" l="1"/>
  <c r="AB24" i="18"/>
  <c r="AG22" i="18"/>
  <c r="AD22" i="18"/>
  <c r="AG19" i="18"/>
  <c r="AD19" i="18"/>
  <c r="AB12" i="18"/>
  <c r="AE12" i="18"/>
  <c r="AE9" i="18"/>
  <c r="AC49" i="18"/>
  <c r="AB9" i="18"/>
  <c r="Z49" i="18"/>
  <c r="T27" i="18"/>
  <c r="T52" i="18" s="1"/>
  <c r="AD51" i="18"/>
  <c r="Z52" i="18"/>
  <c r="AG11" i="18"/>
  <c r="AD11" i="18"/>
  <c r="AE14" i="18"/>
  <c r="AB14" i="18"/>
  <c r="AD13" i="18"/>
  <c r="AG13" i="18"/>
  <c r="AG25" i="18"/>
  <c r="AD25" i="18"/>
  <c r="AG15" i="18"/>
  <c r="AD15" i="18"/>
  <c r="AK51" i="18"/>
  <c r="AJ51" i="18"/>
  <c r="AI21" i="18"/>
  <c r="AH21" i="18" s="1"/>
  <c r="AF21" i="18"/>
  <c r="AE47" i="18"/>
  <c r="AB47" i="18"/>
  <c r="AG16" i="18"/>
  <c r="AD16" i="18"/>
  <c r="AD46" i="18"/>
  <c r="AG46" i="18"/>
  <c r="AE17" i="18"/>
  <c r="AB17" i="18"/>
  <c r="AG20" i="18"/>
  <c r="AD20" i="18"/>
  <c r="AG18" i="18"/>
  <c r="AD18" i="18"/>
  <c r="AG48" i="18"/>
  <c r="AD48" i="18"/>
  <c r="AD10" i="18"/>
  <c r="AG10" i="18"/>
  <c r="AG23" i="18"/>
  <c r="AD23" i="18"/>
  <c r="AD24" i="18" l="1"/>
  <c r="AG24" i="18"/>
  <c r="AI22" i="18"/>
  <c r="AH22" i="18" s="1"/>
  <c r="AF22" i="18"/>
  <c r="AF19" i="18"/>
  <c r="AI19" i="18"/>
  <c r="AH19" i="18" s="1"/>
  <c r="AG12" i="18"/>
  <c r="AD12" i="18"/>
  <c r="AD9" i="18"/>
  <c r="AG9" i="18"/>
  <c r="AE49" i="18"/>
  <c r="AB49" i="18"/>
  <c r="AB52" i="18" s="1"/>
  <c r="AC52" i="18"/>
  <c r="AI48" i="18"/>
  <c r="AH48" i="18" s="1"/>
  <c r="AF48" i="18"/>
  <c r="AI46" i="18"/>
  <c r="AF46" i="18"/>
  <c r="AG47" i="18"/>
  <c r="AD47" i="18"/>
  <c r="AG17" i="18"/>
  <c r="AD17" i="18"/>
  <c r="AI15" i="18"/>
  <c r="AH15" i="18" s="1"/>
  <c r="AF15" i="18"/>
  <c r="AG14" i="18"/>
  <c r="AD14" i="18"/>
  <c r="AI25" i="18"/>
  <c r="AH25" i="18" s="1"/>
  <c r="AF25" i="18"/>
  <c r="AI11" i="18"/>
  <c r="AH11" i="18" s="1"/>
  <c r="AF11" i="18"/>
  <c r="AF10" i="18"/>
  <c r="AI10" i="18"/>
  <c r="AH10" i="18" s="1"/>
  <c r="AI18" i="18"/>
  <c r="AH18" i="18" s="1"/>
  <c r="AF18" i="18"/>
  <c r="AE52" i="18"/>
  <c r="AI23" i="18"/>
  <c r="AH23" i="18" s="1"/>
  <c r="AF23" i="18"/>
  <c r="AI20" i="18"/>
  <c r="AH20" i="18" s="1"/>
  <c r="AF20" i="18"/>
  <c r="AF16" i="18"/>
  <c r="AI16" i="18"/>
  <c r="AH16" i="18" s="1"/>
  <c r="AF13" i="18"/>
  <c r="AI13" i="18"/>
  <c r="AH13" i="18" s="1"/>
  <c r="AF24" i="18" l="1"/>
  <c r="AI24" i="18"/>
  <c r="AH24" i="18" s="1"/>
  <c r="AF12" i="18"/>
  <c r="AI12" i="18"/>
  <c r="AH12" i="18" s="1"/>
  <c r="AG49" i="18"/>
  <c r="AG52" i="18" s="1"/>
  <c r="AF9" i="18"/>
  <c r="AI9" i="18"/>
  <c r="AD49" i="18"/>
  <c r="AD52" i="18" s="1"/>
  <c r="AI17" i="18"/>
  <c r="AH17" i="18" s="1"/>
  <c r="AF17" i="18"/>
  <c r="AF47" i="18"/>
  <c r="AF49" i="18" s="1"/>
  <c r="AI47" i="18"/>
  <c r="AH47" i="18" s="1"/>
  <c r="AH46" i="18"/>
  <c r="AI14" i="18"/>
  <c r="AH14" i="18" s="1"/>
  <c r="AF14" i="18"/>
  <c r="AI49" i="18" l="1"/>
  <c r="AH9" i="18"/>
  <c r="AF52" i="18"/>
  <c r="AH49" i="18"/>
  <c r="AH52" i="18" s="1"/>
  <c r="AI52" i="18" l="1"/>
  <c r="AK49" i="18"/>
  <c r="AK52" i="18" s="1"/>
  <c r="AJ49" i="18"/>
  <c r="AJ52" i="18" s="1"/>
  <c r="Y52" i="15"/>
  <c r="X52" i="15"/>
  <c r="W52" i="15"/>
  <c r="V52" i="15"/>
  <c r="AA48" i="15"/>
  <c r="Z48" i="15" s="1"/>
  <c r="AA47" i="15"/>
  <c r="AC47" i="15" s="1"/>
  <c r="AA46" i="15"/>
  <c r="AC46" i="15" s="1"/>
  <c r="Z46" i="15"/>
  <c r="N46" i="15"/>
  <c r="N41" i="15"/>
  <c r="M41" i="15"/>
  <c r="N36" i="15"/>
  <c r="M36" i="15"/>
  <c r="AH33" i="15"/>
  <c r="AF33" i="15"/>
  <c r="AD33" i="15"/>
  <c r="N33" i="15"/>
  <c r="M33" i="15"/>
  <c r="AE28" i="15"/>
  <c r="AB28" i="15"/>
  <c r="N32" i="15"/>
  <c r="M32" i="15"/>
  <c r="AH30" i="15"/>
  <c r="AF30" i="15"/>
  <c r="AD30" i="15"/>
  <c r="AH29" i="15"/>
  <c r="AF29" i="15"/>
  <c r="AD29" i="15"/>
  <c r="N29" i="15"/>
  <c r="M29" i="15"/>
  <c r="N28" i="15"/>
  <c r="M28" i="15"/>
  <c r="AC27" i="15"/>
  <c r="Z27" i="15"/>
  <c r="N27" i="15"/>
  <c r="M27" i="15"/>
  <c r="AA25" i="15"/>
  <c r="AC25" i="15" s="1"/>
  <c r="AA24" i="15"/>
  <c r="Z24" i="15" s="1"/>
  <c r="AA23" i="15"/>
  <c r="AC23" i="15" s="1"/>
  <c r="AA22" i="15"/>
  <c r="Z22" i="15" s="1"/>
  <c r="N22" i="15"/>
  <c r="M22" i="15"/>
  <c r="AA21" i="15"/>
  <c r="AC21" i="15" s="1"/>
  <c r="Z21" i="15"/>
  <c r="N21" i="15"/>
  <c r="M21" i="15"/>
  <c r="AA20" i="15"/>
  <c r="AC20" i="15" s="1"/>
  <c r="AA19" i="15"/>
  <c r="AC19" i="15" s="1"/>
  <c r="AA18" i="15"/>
  <c r="Z18" i="15" s="1"/>
  <c r="N18" i="15"/>
  <c r="M18" i="15"/>
  <c r="AA17" i="15"/>
  <c r="AC17" i="15" s="1"/>
  <c r="Z17" i="15"/>
  <c r="N17" i="15"/>
  <c r="M17" i="15"/>
  <c r="AA16" i="15"/>
  <c r="AC16" i="15" s="1"/>
  <c r="AA15" i="15"/>
  <c r="Z15" i="15" s="1"/>
  <c r="N15" i="15"/>
  <c r="M15" i="15"/>
  <c r="AA14" i="15"/>
  <c r="AC14" i="15" s="1"/>
  <c r="Z14" i="15"/>
  <c r="N14" i="15"/>
  <c r="M14" i="15"/>
  <c r="AA13" i="15"/>
  <c r="AC13" i="15" s="1"/>
  <c r="N13" i="15"/>
  <c r="M13" i="15"/>
  <c r="AA12" i="15"/>
  <c r="N12" i="15"/>
  <c r="M12" i="15"/>
  <c r="AA11" i="15"/>
  <c r="Z11" i="15" s="1"/>
  <c r="AA10" i="15"/>
  <c r="AC10" i="15" s="1"/>
  <c r="N10" i="15"/>
  <c r="M10" i="15"/>
  <c r="AA9" i="15"/>
  <c r="N9" i="15"/>
  <c r="M9" i="15"/>
  <c r="O2" i="15"/>
  <c r="O27" i="15" s="1"/>
  <c r="P27" i="15" l="1"/>
  <c r="Q27" i="15" s="1"/>
  <c r="AE27" i="15"/>
  <c r="AC51" i="15"/>
  <c r="Z51" i="15"/>
  <c r="T27" i="15"/>
  <c r="AC12" i="15"/>
  <c r="AB12" i="15" s="1"/>
  <c r="Z12" i="15"/>
  <c r="Z9" i="15"/>
  <c r="AA49" i="15"/>
  <c r="AG28" i="15"/>
  <c r="AE51" i="15"/>
  <c r="AK51" i="15" s="1"/>
  <c r="AB46" i="15"/>
  <c r="AE46" i="15"/>
  <c r="AC9" i="15"/>
  <c r="AD28" i="15"/>
  <c r="Z47" i="15"/>
  <c r="AC48" i="15"/>
  <c r="AB20" i="15"/>
  <c r="AE20" i="15"/>
  <c r="AB10" i="15"/>
  <c r="AE10" i="15"/>
  <c r="AB47" i="15"/>
  <c r="AE47" i="15"/>
  <c r="AE23" i="15"/>
  <c r="AB23" i="15"/>
  <c r="AE14" i="15"/>
  <c r="AB14" i="15"/>
  <c r="AE17" i="15"/>
  <c r="AB17" i="15"/>
  <c r="AB25" i="15"/>
  <c r="AE25" i="15"/>
  <c r="AE21" i="15"/>
  <c r="AB21" i="15"/>
  <c r="AE13" i="15"/>
  <c r="AB13" i="15"/>
  <c r="AB16" i="15"/>
  <c r="AE16" i="15"/>
  <c r="AB19" i="15"/>
  <c r="AE19" i="15"/>
  <c r="AD27" i="15"/>
  <c r="AD51" i="15" s="1"/>
  <c r="O29" i="15"/>
  <c r="P29" i="15" s="1"/>
  <c r="Q29" i="15" s="1"/>
  <c r="O25" i="15"/>
  <c r="P25" i="15" s="1"/>
  <c r="O30" i="15"/>
  <c r="P30" i="15" s="1"/>
  <c r="Q30" i="15" s="1"/>
  <c r="O33" i="15"/>
  <c r="P33" i="15" s="1"/>
  <c r="Q33" i="15" s="1"/>
  <c r="O40" i="15"/>
  <c r="P40" i="15" s="1"/>
  <c r="Q40" i="15" s="1"/>
  <c r="AE12" i="15"/>
  <c r="AC24" i="15"/>
  <c r="O39" i="15"/>
  <c r="P39" i="15" s="1"/>
  <c r="Q39" i="15" s="1"/>
  <c r="O48" i="15"/>
  <c r="P48" i="15" s="1"/>
  <c r="Q48" i="15" s="1"/>
  <c r="O9" i="15"/>
  <c r="P9" i="15" s="1"/>
  <c r="Z10" i="15"/>
  <c r="O12" i="15"/>
  <c r="P12" i="15" s="1"/>
  <c r="Z13" i="15"/>
  <c r="Z16" i="15"/>
  <c r="Z19" i="15"/>
  <c r="Z20" i="15"/>
  <c r="Z23" i="15"/>
  <c r="Z25" i="15"/>
  <c r="AB27" i="15"/>
  <c r="AB51" i="15" s="1"/>
  <c r="O28" i="15"/>
  <c r="P28" i="15" s="1"/>
  <c r="Q28" i="15" s="1"/>
  <c r="O38" i="15"/>
  <c r="P38" i="15" s="1"/>
  <c r="Q38" i="15" s="1"/>
  <c r="O16" i="15"/>
  <c r="P16" i="15" s="1"/>
  <c r="O19" i="15"/>
  <c r="P19" i="15" s="1"/>
  <c r="O34" i="15"/>
  <c r="P34" i="15" s="1"/>
  <c r="Q34" i="15" s="1"/>
  <c r="O31" i="15"/>
  <c r="P31" i="15" s="1"/>
  <c r="Q31" i="15" s="1"/>
  <c r="O35" i="15"/>
  <c r="P35" i="15" s="1"/>
  <c r="Q35" i="15" s="1"/>
  <c r="O36" i="15"/>
  <c r="P36" i="15" s="1"/>
  <c r="Q36" i="15" s="1"/>
  <c r="O37" i="15"/>
  <c r="P37" i="15" s="1"/>
  <c r="Q37" i="15" s="1"/>
  <c r="O44" i="15"/>
  <c r="P44" i="15" s="1"/>
  <c r="Q44" i="15" s="1"/>
  <c r="O41" i="15"/>
  <c r="P41" i="15" s="1"/>
  <c r="Q41" i="15" s="1"/>
  <c r="O11" i="15"/>
  <c r="P11" i="15" s="1"/>
  <c r="O15" i="15"/>
  <c r="P15" i="15" s="1"/>
  <c r="O18" i="15"/>
  <c r="P18" i="15" s="1"/>
  <c r="O22" i="15"/>
  <c r="P22" i="15" s="1"/>
  <c r="O24" i="15"/>
  <c r="P24" i="15" s="1"/>
  <c r="O47" i="15"/>
  <c r="P47" i="15" s="1"/>
  <c r="Q47" i="15" s="1"/>
  <c r="O42" i="15"/>
  <c r="P42" i="15" s="1"/>
  <c r="Q42" i="15" s="1"/>
  <c r="O46" i="15"/>
  <c r="P46" i="15" s="1"/>
  <c r="Q46" i="15" s="1"/>
  <c r="O10" i="15"/>
  <c r="P10" i="15" s="1"/>
  <c r="O13" i="15"/>
  <c r="P13" i="15" s="1"/>
  <c r="AC15" i="15"/>
  <c r="AC22" i="15"/>
  <c r="O45" i="15"/>
  <c r="P45" i="15" s="1"/>
  <c r="Q45" i="15" s="1"/>
  <c r="O32" i="15"/>
  <c r="P32" i="15" s="1"/>
  <c r="Q32" i="15" s="1"/>
  <c r="O43" i="15"/>
  <c r="P43" i="15" s="1"/>
  <c r="Q43" i="15" s="1"/>
  <c r="O20" i="15"/>
  <c r="P20" i="15" s="1"/>
  <c r="O23" i="15"/>
  <c r="P23" i="15" s="1"/>
  <c r="AC11" i="15"/>
  <c r="AC18" i="15"/>
  <c r="O14" i="15"/>
  <c r="P14" i="15" s="1"/>
  <c r="O17" i="15"/>
  <c r="P17" i="15" s="1"/>
  <c r="O21" i="15"/>
  <c r="P21" i="15" s="1"/>
  <c r="AG51" i="15" l="1"/>
  <c r="AF28" i="15"/>
  <c r="AD46" i="15"/>
  <c r="AG46" i="15"/>
  <c r="AB9" i="15"/>
  <c r="AC49" i="15"/>
  <c r="AB48" i="15"/>
  <c r="AE48" i="15"/>
  <c r="AC52" i="15"/>
  <c r="AE9" i="15"/>
  <c r="AE49" i="15" s="1"/>
  <c r="Z49" i="15"/>
  <c r="Z52" i="15" s="1"/>
  <c r="AD13" i="15"/>
  <c r="AG13" i="15"/>
  <c r="AF13" i="15" s="1"/>
  <c r="AG47" i="15"/>
  <c r="AF47" i="15" s="1"/>
  <c r="AD47" i="15"/>
  <c r="AG17" i="15"/>
  <c r="AF17" i="15" s="1"/>
  <c r="AD17" i="15"/>
  <c r="AG9" i="15"/>
  <c r="AF9" i="15" s="1"/>
  <c r="AD9" i="15"/>
  <c r="AD19" i="15"/>
  <c r="AG19" i="15"/>
  <c r="AF19" i="15" s="1"/>
  <c r="AD14" i="15"/>
  <c r="AG14" i="15"/>
  <c r="AF14" i="15" s="1"/>
  <c r="AG48" i="15"/>
  <c r="AF48" i="15" s="1"/>
  <c r="AD48" i="15"/>
  <c r="AD16" i="15"/>
  <c r="AG16" i="15"/>
  <c r="AF16" i="15" s="1"/>
  <c r="AE11" i="15"/>
  <c r="AB11" i="15"/>
  <c r="AB49" i="15" s="1"/>
  <c r="AE22" i="15"/>
  <c r="AB22" i="15"/>
  <c r="AD25" i="15"/>
  <c r="AG25" i="15"/>
  <c r="AF25" i="15" s="1"/>
  <c r="AD23" i="15"/>
  <c r="AG23" i="15"/>
  <c r="AF23" i="15" s="1"/>
  <c r="AI46" i="15"/>
  <c r="AD10" i="15"/>
  <c r="AG10" i="15"/>
  <c r="AF10" i="15" s="1"/>
  <c r="AB18" i="15"/>
  <c r="AE18" i="15"/>
  <c r="AB15" i="15"/>
  <c r="AE15" i="15"/>
  <c r="AE24" i="15"/>
  <c r="AB24" i="15"/>
  <c r="AG21" i="15"/>
  <c r="AF21" i="15" s="1"/>
  <c r="AD21" i="15"/>
  <c r="AD20" i="15"/>
  <c r="AG20" i="15"/>
  <c r="AF20" i="15" s="1"/>
  <c r="AD12" i="15"/>
  <c r="AG12" i="15"/>
  <c r="AF12" i="15" s="1"/>
  <c r="AA52" i="15"/>
  <c r="N9" i="14"/>
  <c r="M9" i="14"/>
  <c r="N10" i="14"/>
  <c r="M10" i="14"/>
  <c r="N12" i="14"/>
  <c r="M12" i="14"/>
  <c r="N13" i="14"/>
  <c r="M13" i="14"/>
  <c r="N14" i="14"/>
  <c r="M14" i="14"/>
  <c r="N15" i="14"/>
  <c r="M15" i="14"/>
  <c r="N17" i="14"/>
  <c r="M17" i="14"/>
  <c r="N18" i="14"/>
  <c r="M18" i="14"/>
  <c r="M21" i="14"/>
  <c r="M22" i="14"/>
  <c r="M41" i="14"/>
  <c r="N41" i="14"/>
  <c r="M36" i="14"/>
  <c r="M33" i="14"/>
  <c r="N33" i="14"/>
  <c r="M32" i="14"/>
  <c r="M29" i="14"/>
  <c r="N28" i="14"/>
  <c r="T28" i="15" l="1"/>
  <c r="T52" i="15" s="1"/>
  <c r="AF51" i="15"/>
  <c r="AF46" i="15"/>
  <c r="AH46" i="15"/>
  <c r="AB52" i="15"/>
  <c r="AI21" i="15"/>
  <c r="AH21" i="15" s="1"/>
  <c r="AG22" i="15"/>
  <c r="AF22" i="15" s="1"/>
  <c r="AD22" i="15"/>
  <c r="AI14" i="15"/>
  <c r="AH14" i="15" s="1"/>
  <c r="AI17" i="15"/>
  <c r="AH17" i="15" s="1"/>
  <c r="AI12" i="15"/>
  <c r="AH12" i="15" s="1"/>
  <c r="AG24" i="15"/>
  <c r="AF24" i="15" s="1"/>
  <c r="AD24" i="15"/>
  <c r="AG11" i="15"/>
  <c r="AD11" i="15"/>
  <c r="AD49" i="15" s="1"/>
  <c r="AD52" i="15" s="1"/>
  <c r="AI19" i="15"/>
  <c r="AH19" i="15" s="1"/>
  <c r="AI47" i="15"/>
  <c r="AH47" i="15" s="1"/>
  <c r="AG15" i="15"/>
  <c r="AF15" i="15" s="1"/>
  <c r="AD15" i="15"/>
  <c r="AI23" i="15"/>
  <c r="AH23" i="15" s="1"/>
  <c r="AI13" i="15"/>
  <c r="AH13" i="15" s="1"/>
  <c r="AI16" i="15"/>
  <c r="AH16" i="15" s="1"/>
  <c r="AI20" i="15"/>
  <c r="AH20" i="15" s="1"/>
  <c r="AG18" i="15"/>
  <c r="AF18" i="15" s="1"/>
  <c r="AD18" i="15"/>
  <c r="AI25" i="15"/>
  <c r="AH25" i="15" s="1"/>
  <c r="AI9" i="15"/>
  <c r="AI10" i="15"/>
  <c r="AH10" i="15" s="1"/>
  <c r="AI48" i="15"/>
  <c r="AH48" i="15" s="1"/>
  <c r="M28" i="14"/>
  <c r="M27" i="14"/>
  <c r="AJ51" i="15" l="1"/>
  <c r="AG49" i="15"/>
  <c r="AF11" i="15"/>
  <c r="AF49" i="15" s="1"/>
  <c r="AF52" i="15" s="1"/>
  <c r="AK50" i="15"/>
  <c r="AG52" i="15"/>
  <c r="AE52" i="15"/>
  <c r="AI18" i="15"/>
  <c r="AH18" i="15" s="1"/>
  <c r="AI15" i="15"/>
  <c r="AH15" i="15" s="1"/>
  <c r="AI11" i="15"/>
  <c r="AH9" i="15"/>
  <c r="AH49" i="15" s="1"/>
  <c r="AI24" i="15"/>
  <c r="AH24" i="15" s="1"/>
  <c r="AI22" i="15"/>
  <c r="AH22" i="15" s="1"/>
  <c r="W52" i="14"/>
  <c r="X52" i="14"/>
  <c r="Y52" i="14"/>
  <c r="V52" i="14"/>
  <c r="AH11" i="15" l="1"/>
  <c r="AI49" i="15"/>
  <c r="AK49" i="15" s="1"/>
  <c r="AJ50" i="15"/>
  <c r="AF33" i="14"/>
  <c r="AD33" i="14"/>
  <c r="AC22" i="14"/>
  <c r="AB22" i="14" s="1"/>
  <c r="AA10" i="14"/>
  <c r="Z10" i="14" s="1"/>
  <c r="AA11" i="14"/>
  <c r="Z11" i="14" s="1"/>
  <c r="AA12" i="14"/>
  <c r="Z12" i="14" s="1"/>
  <c r="AA13" i="14"/>
  <c r="AC13" i="14" s="1"/>
  <c r="AA14" i="14"/>
  <c r="Z14" i="14" s="1"/>
  <c r="AA15" i="14"/>
  <c r="Z15" i="14" s="1"/>
  <c r="AA16" i="14"/>
  <c r="Z16" i="14" s="1"/>
  <c r="AA17" i="14"/>
  <c r="Z17" i="14" s="1"/>
  <c r="AA18" i="14"/>
  <c r="Z18" i="14" s="1"/>
  <c r="AA19" i="14"/>
  <c r="AC19" i="14" s="1"/>
  <c r="AA20" i="14"/>
  <c r="Z20" i="14" s="1"/>
  <c r="AA21" i="14"/>
  <c r="Z21" i="14" s="1"/>
  <c r="AA22" i="14"/>
  <c r="Z22" i="14" s="1"/>
  <c r="AA23" i="14"/>
  <c r="AC23" i="14" s="1"/>
  <c r="AB23" i="14" s="1"/>
  <c r="AA24" i="14"/>
  <c r="Z24" i="14" s="1"/>
  <c r="AA25" i="14"/>
  <c r="Z25" i="14" s="1"/>
  <c r="AA9" i="14"/>
  <c r="Z9" i="14" s="1"/>
  <c r="AH43" i="14"/>
  <c r="AF40" i="14"/>
  <c r="AF37" i="14"/>
  <c r="AF38" i="14"/>
  <c r="AF36" i="14"/>
  <c r="AF35" i="14"/>
  <c r="AD35" i="14"/>
  <c r="AD30" i="14"/>
  <c r="AD29" i="14"/>
  <c r="AF29" i="14"/>
  <c r="AF30" i="14"/>
  <c r="AF31" i="14"/>
  <c r="AH28" i="14"/>
  <c r="AH29" i="14"/>
  <c r="AH30" i="14"/>
  <c r="AH31" i="14"/>
  <c r="AH32" i="14"/>
  <c r="AH33" i="14"/>
  <c r="AH34" i="14"/>
  <c r="AH35" i="14"/>
  <c r="AH36" i="14"/>
  <c r="AH37" i="14"/>
  <c r="AH38" i="14"/>
  <c r="AH39" i="14"/>
  <c r="AH40" i="14"/>
  <c r="AH27" i="14"/>
  <c r="AF27" i="14"/>
  <c r="AG28" i="14"/>
  <c r="AC30" i="14"/>
  <c r="AB30" i="14" s="1"/>
  <c r="AF44" i="14"/>
  <c r="AF41" i="14"/>
  <c r="AF42" i="14"/>
  <c r="Z28" i="14"/>
  <c r="AI52" i="15" l="1"/>
  <c r="AK52" i="15"/>
  <c r="AH52" i="15"/>
  <c r="AJ49" i="15"/>
  <c r="AJ52" i="15" s="1"/>
  <c r="AC16" i="14"/>
  <c r="AE16" i="14" s="1"/>
  <c r="AD16" i="14" s="1"/>
  <c r="AC15" i="14"/>
  <c r="AE15" i="14" s="1"/>
  <c r="AG15" i="14" s="1"/>
  <c r="AF28" i="14"/>
  <c r="Z23" i="14"/>
  <c r="AB19" i="14"/>
  <c r="AE19" i="14"/>
  <c r="AB13" i="14"/>
  <c r="AE13" i="14"/>
  <c r="AE23" i="14"/>
  <c r="AC20" i="14"/>
  <c r="AE22" i="14"/>
  <c r="Z13" i="14"/>
  <c r="AC12" i="14"/>
  <c r="AC21" i="14"/>
  <c r="AC11" i="14"/>
  <c r="Z19" i="14"/>
  <c r="AC25" i="14"/>
  <c r="AC18" i="14"/>
  <c r="AC10" i="14"/>
  <c r="AC14" i="14"/>
  <c r="AC9" i="14"/>
  <c r="AC24" i="14"/>
  <c r="AC17" i="14"/>
  <c r="AA46" i="14"/>
  <c r="AA47" i="14"/>
  <c r="AA48" i="14"/>
  <c r="AA45" i="14"/>
  <c r="AA51" i="14" s="1"/>
  <c r="Z29" i="14"/>
  <c r="Z30" i="14"/>
  <c r="Z31" i="14"/>
  <c r="AD15" i="14" l="1"/>
  <c r="AG16" i="14"/>
  <c r="AF16" i="14" s="1"/>
  <c r="AB16" i="14"/>
  <c r="AB15" i="14"/>
  <c r="AD22" i="14"/>
  <c r="AG22" i="14"/>
  <c r="AB17" i="14"/>
  <c r="AE17" i="14"/>
  <c r="AE20" i="14"/>
  <c r="AB20" i="14"/>
  <c r="AB11" i="14"/>
  <c r="AE11" i="14"/>
  <c r="AB24" i="14"/>
  <c r="AE24" i="14"/>
  <c r="AD19" i="14"/>
  <c r="AG19" i="14"/>
  <c r="AB21" i="14"/>
  <c r="AE21" i="14"/>
  <c r="AB14" i="14"/>
  <c r="AE14" i="14"/>
  <c r="AC48" i="14"/>
  <c r="Z48" i="14"/>
  <c r="AI15" i="14"/>
  <c r="AH15" i="14" s="1"/>
  <c r="AF15" i="14"/>
  <c r="AC46" i="14"/>
  <c r="Z46" i="14"/>
  <c r="AB18" i="14"/>
  <c r="AE18" i="14"/>
  <c r="AE25" i="14"/>
  <c r="AB25" i="14"/>
  <c r="AD13" i="14"/>
  <c r="AG13" i="14"/>
  <c r="AB9" i="14"/>
  <c r="AE9" i="14"/>
  <c r="AD23" i="14"/>
  <c r="AG23" i="14"/>
  <c r="AC45" i="14"/>
  <c r="Z45" i="14"/>
  <c r="AB12" i="14"/>
  <c r="AE12" i="14"/>
  <c r="AA49" i="14"/>
  <c r="AA52" i="14" s="1"/>
  <c r="AC47" i="14"/>
  <c r="Z47" i="14"/>
  <c r="AE10" i="14"/>
  <c r="AB10" i="14"/>
  <c r="AI42" i="14"/>
  <c r="AH42" i="14" s="1"/>
  <c r="AG43" i="14"/>
  <c r="AF43" i="14" s="1"/>
  <c r="AI44" i="14"/>
  <c r="AH44" i="14" s="1"/>
  <c r="AI41" i="14"/>
  <c r="AE38" i="14"/>
  <c r="AE40" i="14"/>
  <c r="AD40" i="14" s="1"/>
  <c r="AE37" i="14"/>
  <c r="AD37" i="14" s="1"/>
  <c r="AC33" i="14"/>
  <c r="AB33" i="14" s="1"/>
  <c r="AB34" i="14"/>
  <c r="AC35" i="14"/>
  <c r="AB36" i="14"/>
  <c r="AB32" i="14"/>
  <c r="AC28" i="14"/>
  <c r="AC29" i="14"/>
  <c r="AB29" i="14" s="1"/>
  <c r="AC31" i="14"/>
  <c r="AC49" i="14" l="1"/>
  <c r="AI16" i="14"/>
  <c r="AH16" i="14" s="1"/>
  <c r="Z49" i="14"/>
  <c r="AD9" i="14"/>
  <c r="AG9" i="14"/>
  <c r="AG10" i="14"/>
  <c r="AD10" i="14"/>
  <c r="AD20" i="14"/>
  <c r="AG20" i="14"/>
  <c r="AI13" i="14"/>
  <c r="AH13" i="14" s="1"/>
  <c r="AF13" i="14"/>
  <c r="AF19" i="14"/>
  <c r="AI19" i="14"/>
  <c r="AH19" i="14" s="1"/>
  <c r="AD17" i="14"/>
  <c r="AG17" i="14"/>
  <c r="AE28" i="14"/>
  <c r="AD28" i="14" s="1"/>
  <c r="AB28" i="14"/>
  <c r="AE47" i="14"/>
  <c r="AB47" i="14"/>
  <c r="AD21" i="14"/>
  <c r="AG21" i="14"/>
  <c r="AD12" i="14"/>
  <c r="AG12" i="14"/>
  <c r="AE46" i="14"/>
  <c r="AB46" i="14"/>
  <c r="AI51" i="14"/>
  <c r="AH41" i="14"/>
  <c r="AH51" i="14" s="1"/>
  <c r="AE45" i="14"/>
  <c r="AB45" i="14"/>
  <c r="AD24" i="14"/>
  <c r="AG24" i="14"/>
  <c r="AI22" i="14"/>
  <c r="AH22" i="14" s="1"/>
  <c r="AF22" i="14"/>
  <c r="AI23" i="14"/>
  <c r="AH23" i="14" s="1"/>
  <c r="AF23" i="14"/>
  <c r="AD25" i="14"/>
  <c r="AG25" i="14"/>
  <c r="AE48" i="14"/>
  <c r="AB48" i="14"/>
  <c r="AD18" i="14"/>
  <c r="AG18" i="14"/>
  <c r="AD14" i="14"/>
  <c r="AG14" i="14"/>
  <c r="AD11" i="14"/>
  <c r="AG11" i="14"/>
  <c r="AE31" i="14"/>
  <c r="AD31" i="14" s="1"/>
  <c r="AB31" i="14"/>
  <c r="AE36" i="14"/>
  <c r="AD36" i="14" s="1"/>
  <c r="AE34" i="14"/>
  <c r="AD38" i="14"/>
  <c r="AG39" i="14"/>
  <c r="AF39" i="14" s="1"/>
  <c r="AD39" i="14"/>
  <c r="AC27" i="14"/>
  <c r="AC51" i="14" s="1"/>
  <c r="Z27" i="14"/>
  <c r="Z51" i="14" s="1"/>
  <c r="AB35" i="14"/>
  <c r="AE32" i="14"/>
  <c r="N32" i="14"/>
  <c r="N36" i="14"/>
  <c r="N46" i="14"/>
  <c r="N29" i="14"/>
  <c r="N27" i="14"/>
  <c r="N22" i="14"/>
  <c r="N21" i="14"/>
  <c r="O2" i="14"/>
  <c r="AC52" i="14" l="1"/>
  <c r="AB49" i="14"/>
  <c r="Z52" i="14"/>
  <c r="AI11" i="14"/>
  <c r="AH11" i="14" s="1"/>
  <c r="AF11" i="14"/>
  <c r="AI24" i="14"/>
  <c r="AH24" i="14" s="1"/>
  <c r="AF24" i="14"/>
  <c r="AI12" i="14"/>
  <c r="AH12" i="14" s="1"/>
  <c r="AF12" i="14"/>
  <c r="AI17" i="14"/>
  <c r="AH17" i="14" s="1"/>
  <c r="AF17" i="14"/>
  <c r="AI10" i="14"/>
  <c r="AH10" i="14" s="1"/>
  <c r="AF10" i="14"/>
  <c r="AG45" i="14"/>
  <c r="AD45" i="14"/>
  <c r="AE49" i="14"/>
  <c r="AG34" i="14"/>
  <c r="AD34" i="14"/>
  <c r="AI18" i="14"/>
  <c r="AH18" i="14" s="1"/>
  <c r="AF18" i="14"/>
  <c r="AF9" i="14"/>
  <c r="AI9" i="14"/>
  <c r="AG48" i="14"/>
  <c r="AD48" i="14"/>
  <c r="AI25" i="14"/>
  <c r="AH25" i="14" s="1"/>
  <c r="AF25" i="14"/>
  <c r="AF21" i="14"/>
  <c r="AI21" i="14"/>
  <c r="AH21" i="14" s="1"/>
  <c r="AG32" i="14"/>
  <c r="AD32" i="14"/>
  <c r="AF14" i="14"/>
  <c r="AI14" i="14"/>
  <c r="AH14" i="14" s="1"/>
  <c r="AG47" i="14"/>
  <c r="AD47" i="14"/>
  <c r="AG46" i="14"/>
  <c r="AD46" i="14"/>
  <c r="AI20" i="14"/>
  <c r="AH20" i="14" s="1"/>
  <c r="AF20" i="14"/>
  <c r="AE27" i="14"/>
  <c r="AE51" i="14" s="1"/>
  <c r="AB27" i="14"/>
  <c r="AB51" i="14" s="1"/>
  <c r="O10" i="14"/>
  <c r="P10" i="14" s="1"/>
  <c r="O18" i="14"/>
  <c r="P18" i="14" s="1"/>
  <c r="O25" i="14"/>
  <c r="P25" i="14" s="1"/>
  <c r="O12" i="14"/>
  <c r="P12" i="14" s="1"/>
  <c r="O13" i="14"/>
  <c r="P13" i="14" s="1"/>
  <c r="O20" i="14"/>
  <c r="P20" i="14" s="1"/>
  <c r="O21" i="14"/>
  <c r="P21" i="14" s="1"/>
  <c r="O22" i="14"/>
  <c r="P22" i="14" s="1"/>
  <c r="O11" i="14"/>
  <c r="P11" i="14" s="1"/>
  <c r="O19" i="14"/>
  <c r="P19" i="14" s="1"/>
  <c r="O9" i="14"/>
  <c r="P9" i="14" s="1"/>
  <c r="O15" i="14"/>
  <c r="P15" i="14" s="1"/>
  <c r="O16" i="14"/>
  <c r="P16" i="14" s="1"/>
  <c r="O17" i="14"/>
  <c r="P17" i="14" s="1"/>
  <c r="O24" i="14"/>
  <c r="P24" i="14" s="1"/>
  <c r="O14" i="14"/>
  <c r="P14" i="14" s="1"/>
  <c r="O23" i="14"/>
  <c r="P23" i="14" s="1"/>
  <c r="O28" i="14"/>
  <c r="O36" i="14"/>
  <c r="O44" i="14"/>
  <c r="O38" i="14"/>
  <c r="O32" i="14"/>
  <c r="P32" i="14" s="1"/>
  <c r="Q32" i="14" s="1"/>
  <c r="O40" i="14"/>
  <c r="O43" i="14"/>
  <c r="O29" i="14"/>
  <c r="O37" i="14"/>
  <c r="O45" i="14"/>
  <c r="P45" i="14" s="1"/>
  <c r="Q45" i="14" s="1"/>
  <c r="O30" i="14"/>
  <c r="O46" i="14"/>
  <c r="P46" i="14" s="1"/>
  <c r="Q46" i="14" s="1"/>
  <c r="O34" i="14"/>
  <c r="O42" i="14"/>
  <c r="P42" i="14" s="1"/>
  <c r="Q42" i="14" s="1"/>
  <c r="O35" i="14"/>
  <c r="O31" i="14"/>
  <c r="O39" i="14"/>
  <c r="O47" i="14"/>
  <c r="O48" i="14"/>
  <c r="O33" i="14"/>
  <c r="P33" i="14" s="1"/>
  <c r="Q33" i="14" s="1"/>
  <c r="O41" i="14"/>
  <c r="P41" i="14" s="1"/>
  <c r="Q41" i="14" s="1"/>
  <c r="O27" i="14"/>
  <c r="P27" i="14" s="1"/>
  <c r="Q27" i="14" s="1"/>
  <c r="X48" i="12"/>
  <c r="AF34" i="14" l="1"/>
  <c r="AG49" i="14"/>
  <c r="AB52" i="14"/>
  <c r="AE52" i="14"/>
  <c r="AD49" i="14"/>
  <c r="AI45" i="14"/>
  <c r="AH45" i="14" s="1"/>
  <c r="AF45" i="14"/>
  <c r="AI48" i="14"/>
  <c r="AH48" i="14" s="1"/>
  <c r="AF48" i="14"/>
  <c r="AG51" i="14"/>
  <c r="AK51" i="14" s="1"/>
  <c r="AF32" i="14"/>
  <c r="AI46" i="14"/>
  <c r="AH46" i="14" s="1"/>
  <c r="AF46" i="14"/>
  <c r="AH9" i="14"/>
  <c r="AG50" i="14"/>
  <c r="AI47" i="14"/>
  <c r="AH47" i="14" s="1"/>
  <c r="AF47" i="14"/>
  <c r="AD27" i="14"/>
  <c r="AD51" i="14" s="1"/>
  <c r="P48" i="14"/>
  <c r="Q48" i="14" s="1"/>
  <c r="P47" i="14"/>
  <c r="Q47" i="14" s="1"/>
  <c r="P28" i="14"/>
  <c r="Q28" i="14" s="1"/>
  <c r="P30" i="14"/>
  <c r="Q30" i="14" s="1"/>
  <c r="P38" i="14"/>
  <c r="Q38" i="14" s="1"/>
  <c r="P40" i="14"/>
  <c r="Q40" i="14" s="1"/>
  <c r="P39" i="14"/>
  <c r="Q39" i="14" s="1"/>
  <c r="P29" i="14"/>
  <c r="Q29" i="14" s="1"/>
  <c r="P31" i="14"/>
  <c r="Q31" i="14" s="1"/>
  <c r="P37" i="14"/>
  <c r="Q37" i="14" s="1"/>
  <c r="P36" i="14"/>
  <c r="Q36" i="14" s="1"/>
  <c r="P34" i="14"/>
  <c r="Q34" i="14" s="1"/>
  <c r="P35" i="14"/>
  <c r="Q35" i="14" s="1"/>
  <c r="P44" i="14"/>
  <c r="Q44" i="14" s="1"/>
  <c r="P43" i="14"/>
  <c r="Q43" i="14" s="1"/>
  <c r="AD52" i="14" l="1"/>
  <c r="AF50" i="14"/>
  <c r="AF51" i="14"/>
  <c r="AJ51" i="14" s="1"/>
  <c r="AF49" i="14"/>
  <c r="AJ50" i="14"/>
  <c r="AK50" i="14"/>
  <c r="AG52" i="14"/>
  <c r="AH49" i="14"/>
  <c r="AI49" i="14"/>
  <c r="AB48" i="12"/>
  <c r="AD48" i="12"/>
  <c r="AD49" i="12" s="1"/>
  <c r="AF48" i="12"/>
  <c r="AF50" i="12"/>
  <c r="AF49" i="12"/>
  <c r="AD50" i="12"/>
  <c r="AB49" i="12"/>
  <c r="AB50" i="12"/>
  <c r="Z50" i="12"/>
  <c r="Z48" i="12"/>
  <c r="X50" i="12"/>
  <c r="V48" i="12"/>
  <c r="V51" i="12" l="1"/>
  <c r="AH48" i="12"/>
  <c r="AF52" i="14"/>
  <c r="AK49" i="14"/>
  <c r="AK52" i="14" s="1"/>
  <c r="AI52" i="14"/>
  <c r="AJ49" i="14"/>
  <c r="AJ52" i="14" s="1"/>
  <c r="AH52" i="14"/>
  <c r="AB51" i="12"/>
  <c r="Z51" i="12"/>
  <c r="AF51" i="12"/>
  <c r="X51" i="12"/>
  <c r="AD51" i="12"/>
  <c r="T49" i="12"/>
  <c r="AH49" i="12" s="1"/>
  <c r="T50" i="12"/>
  <c r="AH50" i="12" s="1"/>
  <c r="K32" i="12"/>
  <c r="K35" i="12"/>
  <c r="K45" i="12"/>
  <c r="K36" i="12"/>
  <c r="K29" i="12"/>
  <c r="K28" i="12"/>
  <c r="K44" i="12"/>
  <c r="J32" i="12"/>
  <c r="J35" i="12"/>
  <c r="J45" i="12"/>
  <c r="J36" i="12"/>
  <c r="J29" i="12"/>
  <c r="J28" i="12"/>
  <c r="J37" i="12"/>
  <c r="J44" i="12"/>
  <c r="K22" i="12"/>
  <c r="K21" i="12"/>
  <c r="K17" i="12"/>
  <c r="K16" i="12"/>
  <c r="K15" i="12"/>
  <c r="K13" i="12"/>
  <c r="K12" i="12"/>
  <c r="K11" i="12"/>
  <c r="K9" i="12"/>
  <c r="J22" i="12"/>
  <c r="J21" i="12"/>
  <c r="J13" i="12"/>
  <c r="J12" i="12"/>
  <c r="J11" i="12"/>
  <c r="J9" i="12"/>
  <c r="T51" i="12" l="1"/>
  <c r="L1" i="12"/>
  <c r="L42" i="12" l="1"/>
  <c r="N42" i="12" s="1"/>
  <c r="L8" i="12"/>
  <c r="L38" i="12"/>
  <c r="N38" i="12" s="1"/>
  <c r="L45" i="12"/>
  <c r="N45" i="12" s="1"/>
  <c r="L11" i="12"/>
  <c r="L12" i="12"/>
  <c r="L19" i="12"/>
  <c r="L43" i="12"/>
  <c r="N43" i="12" s="1"/>
  <c r="L15" i="12"/>
  <c r="L44" i="12"/>
  <c r="N44" i="12" s="1"/>
  <c r="L35" i="12"/>
  <c r="N35" i="12" s="1"/>
  <c r="L37" i="12"/>
  <c r="N37" i="12" s="1"/>
  <c r="L40" i="12"/>
  <c r="N40" i="12" s="1"/>
  <c r="L13" i="12"/>
  <c r="L20" i="12"/>
  <c r="L39" i="12"/>
  <c r="N39" i="12" s="1"/>
  <c r="L28" i="12"/>
  <c r="N28" i="12" s="1"/>
  <c r="L34" i="12"/>
  <c r="N34" i="12" s="1"/>
  <c r="L14" i="12"/>
  <c r="L21" i="12"/>
  <c r="L29" i="12"/>
  <c r="N29" i="12" s="1"/>
  <c r="L22" i="12"/>
  <c r="L25" i="12"/>
  <c r="L41" i="12"/>
  <c r="N41" i="12" s="1"/>
  <c r="L36" i="12"/>
  <c r="N36" i="12" s="1"/>
  <c r="L30" i="12"/>
  <c r="N30" i="12" s="1"/>
  <c r="L16" i="12"/>
  <c r="L23" i="12"/>
  <c r="L33" i="12"/>
  <c r="N33" i="12" s="1"/>
  <c r="L27" i="12"/>
  <c r="N27" i="12" s="1"/>
  <c r="L10" i="12"/>
  <c r="L47" i="12"/>
  <c r="N47" i="12" s="1"/>
  <c r="L46" i="12"/>
  <c r="N46" i="12" s="1"/>
  <c r="L32" i="12"/>
  <c r="N32" i="12" s="1"/>
  <c r="L17" i="12"/>
  <c r="L24" i="12"/>
  <c r="L31" i="12"/>
  <c r="N31" i="12" s="1"/>
  <c r="L18" i="12"/>
  <c r="L9" i="1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A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Hp</author>
  </authors>
  <commentList>
    <comment ref="E33" authorId="0" shapeId="0" xr:uid="{00000000-0006-0000-0B00-000001000000}">
      <text>
        <r>
          <rPr>
            <b/>
            <sz val="9"/>
            <color indexed="81"/>
            <rFont val="Tahoma"/>
            <family val="2"/>
          </rPr>
          <t>Hp:</t>
        </r>
        <r>
          <rPr>
            <sz val="9"/>
            <color indexed="81"/>
            <rFont val="Tahoma"/>
            <family val="2"/>
          </rPr>
          <t xml:space="preserve">
This road priority no. 01 base on AMD LAUTEM Municipality recommendation
</t>
        </r>
      </text>
    </comment>
  </commentList>
</comments>
</file>

<file path=xl/sharedStrings.xml><?xml version="1.0" encoding="utf-8"?>
<sst xmlns="http://schemas.openxmlformats.org/spreadsheetml/2006/main" count="1535" uniqueCount="203">
  <si>
    <t>Administrative Post</t>
  </si>
  <si>
    <t>Suco</t>
  </si>
  <si>
    <t>Road Name</t>
  </si>
  <si>
    <t>Start Point</t>
  </si>
  <si>
    <t>X Coordinate</t>
  </si>
  <si>
    <t>Y Coordinate</t>
  </si>
  <si>
    <t>Length in km</t>
  </si>
  <si>
    <t>Type</t>
  </si>
  <si>
    <t>B</t>
  </si>
  <si>
    <t>Rehabilitation Cost in '000 USD</t>
  </si>
  <si>
    <t>Per km</t>
  </si>
  <si>
    <t>Total</t>
  </si>
  <si>
    <t>USD</t>
  </si>
  <si>
    <t>km</t>
  </si>
  <si>
    <t>G = Good</t>
  </si>
  <si>
    <t>F = Fair</t>
  </si>
  <si>
    <t>B = Bad</t>
  </si>
  <si>
    <t>Routine Maint.</t>
  </si>
  <si>
    <t>Period. Maint.</t>
  </si>
  <si>
    <t>Rehabilitation</t>
  </si>
  <si>
    <t>TOTAL</t>
  </si>
  <si>
    <t xml:space="preserve">Routine Maintenance </t>
  </si>
  <si>
    <t>Periodic Maintenance</t>
  </si>
  <si>
    <t>Earth</t>
  </si>
  <si>
    <t>Bitumen</t>
  </si>
  <si>
    <t>G</t>
  </si>
  <si>
    <t>Existing Surface Condition</t>
  </si>
  <si>
    <t>Suco Population</t>
  </si>
  <si>
    <t>Suco Area (km2)</t>
  </si>
  <si>
    <t>Road Priority Index</t>
  </si>
  <si>
    <t>Perception</t>
  </si>
  <si>
    <r>
      <t xml:space="preserve">Annual Investment </t>
    </r>
    <r>
      <rPr>
        <b/>
        <sz val="11"/>
        <color rgb="FFC00000"/>
        <rFont val="Arial Narrow"/>
        <family val="2"/>
      </rPr>
      <t>Plan</t>
    </r>
    <r>
      <rPr>
        <b/>
        <sz val="11"/>
        <color theme="1"/>
        <rFont val="Arial Narrow"/>
        <family val="2"/>
      </rPr>
      <t xml:space="preserve"> for Rehabilitation  (in '000 USD)</t>
    </r>
  </si>
  <si>
    <t>S Zone influence (km2)</t>
  </si>
  <si>
    <t>No.</t>
  </si>
  <si>
    <t>Road Code</t>
  </si>
  <si>
    <t>LA011</t>
  </si>
  <si>
    <t>LA097</t>
  </si>
  <si>
    <t>LA012</t>
  </si>
  <si>
    <t>LA007</t>
  </si>
  <si>
    <t>LA004</t>
  </si>
  <si>
    <t>LA043</t>
  </si>
  <si>
    <t>LA005</t>
  </si>
  <si>
    <t>D</t>
  </si>
  <si>
    <t>Luro</t>
  </si>
  <si>
    <t>Lautem</t>
  </si>
  <si>
    <t>Lospalos</t>
  </si>
  <si>
    <t>Iliomar</t>
  </si>
  <si>
    <t>Luro, Baricafa</t>
  </si>
  <si>
    <t>Luro, Baricafa,Lakawa</t>
  </si>
  <si>
    <t>Ililai</t>
  </si>
  <si>
    <t>Fuiluro,Home</t>
  </si>
  <si>
    <t>Home</t>
  </si>
  <si>
    <t>Fuiluro,Muapitine</t>
  </si>
  <si>
    <t>Leuro,Souro</t>
  </si>
  <si>
    <t>Cainliu</t>
  </si>
  <si>
    <t>Cainliu,Trilolo</t>
  </si>
  <si>
    <t>Cainliu,Larisula</t>
  </si>
  <si>
    <t>Muapitine</t>
  </si>
  <si>
    <t>Souro</t>
  </si>
  <si>
    <t>Cainliu,Apatmuto</t>
  </si>
  <si>
    <t>Apatmuto,Kanfuru</t>
  </si>
  <si>
    <t>Kanfuro</t>
  </si>
  <si>
    <t>Dirinu</t>
  </si>
  <si>
    <t>Luro - baricafa STA 0+000 - 7+000</t>
  </si>
  <si>
    <t>Luro-Kotamuto-Lakawa STA 0+000 - 6+500</t>
  </si>
  <si>
    <t>Dasidara - Liquidiga STA 0+000-10+500</t>
  </si>
  <si>
    <t>Fuiluro - Home STA 0+000-2+500</t>
  </si>
  <si>
    <t>Fuiluro - Home STA 2+500-3+500</t>
  </si>
  <si>
    <t>Fuiluro - Muapitine STA 0+000-7+000</t>
  </si>
  <si>
    <t>Leuro - Sourolua STA 0+000-2+650</t>
  </si>
  <si>
    <t>Cainliu - Larisula I STA 0+000-2+700</t>
  </si>
  <si>
    <t>Cainliu - Larisula II STA 2+700-5+400</t>
  </si>
  <si>
    <t>Cainliu - Larisula III STA 8+750-11+050</t>
  </si>
  <si>
    <t>Cainliu - Larisula IV 11+050-13+050</t>
  </si>
  <si>
    <t>Muapitine - Malahara STA 7+000 - 10+00</t>
  </si>
  <si>
    <t>Souro - Nairete STA 0+000 - 3+000</t>
  </si>
  <si>
    <t>Souro - Lutrula STA 0+000 - 2+700</t>
  </si>
  <si>
    <t>Caenliu - Apatmuto STA 0+000 - 1+700</t>
  </si>
  <si>
    <t>Apatmuto - Kanfuru STA 0+000 - 2+000</t>
  </si>
  <si>
    <t>Kanfuru - Larimi STA 0+000 - 2+000</t>
  </si>
  <si>
    <t>Dirinu - Larimi STA 0+000 - 2+000</t>
  </si>
  <si>
    <t>Dirinu - Larimi STA 2+000 - 4+700</t>
  </si>
  <si>
    <t>Plum/gravel</t>
  </si>
  <si>
    <t>Gravel/Bitumen</t>
  </si>
  <si>
    <t>Gravel</t>
  </si>
  <si>
    <t>F</t>
  </si>
  <si>
    <t>LA013</t>
  </si>
  <si>
    <t>LA033</t>
  </si>
  <si>
    <t>LA009</t>
  </si>
  <si>
    <t>LA010</t>
  </si>
  <si>
    <t>LA008</t>
  </si>
  <si>
    <t>LA003</t>
  </si>
  <si>
    <t>LA001</t>
  </si>
  <si>
    <t>LA014</t>
  </si>
  <si>
    <t>Tutuala</t>
  </si>
  <si>
    <t>Lore</t>
  </si>
  <si>
    <t>Souro - Nairete STA 0+000 - 1+000</t>
  </si>
  <si>
    <t>Home -Reisouro STA 0+000 - 2+000</t>
  </si>
  <si>
    <t>Leikdana - Afaia 0+000 - 1+800</t>
  </si>
  <si>
    <t>Bulavai - Luto leten 0+000 - 5+000</t>
  </si>
  <si>
    <t>Zamanisi - Talahira STA 0+000 - 1+500</t>
  </si>
  <si>
    <t>Maribere - Buanomar STA 0+000 - 4+000</t>
  </si>
  <si>
    <t>Iliomar - Caentau STA 0+000 - 3+000</t>
  </si>
  <si>
    <t>Iliomar - Iradarat STA 0+000 - 8+500</t>
  </si>
  <si>
    <t>Iliomar - Fuat Sta 0+000 - 3+050</t>
  </si>
  <si>
    <t>Paiahara - Mauwedara STA 0+000 - 3+500</t>
  </si>
  <si>
    <t>Motara - Bauro STA 0+000 - 4+200</t>
  </si>
  <si>
    <t>Lore -Chai STA 0+000 - 5+000</t>
  </si>
  <si>
    <t>Iliomar - Larisouro STA 0+000 - 2+500</t>
  </si>
  <si>
    <t>Lakawa - Wairoke STA 0+000 - 4+750</t>
  </si>
  <si>
    <t>Soekili - Irauno STA 0+000 - 7+500</t>
  </si>
  <si>
    <t>Tutuala - Valu STA 0+000 - 8+000</t>
  </si>
  <si>
    <t>Odofuru - Baduru STA 0+000 - 10+300</t>
  </si>
  <si>
    <t>Iliomar - Caenleu STA 0+000 - 4+000</t>
  </si>
  <si>
    <t>Maina I - Parlamento STA 0+000 - 5+700</t>
  </si>
  <si>
    <t>Parlamento - Soekili STA 0+000 - 7+900</t>
  </si>
  <si>
    <t>Lautem - Parlamento 0+000 - 2+100</t>
  </si>
  <si>
    <t>Muapitine - Malahara STA 10+00- 13+550</t>
  </si>
  <si>
    <t>Serelau -Baduro STA 0+000 - 7+900</t>
  </si>
  <si>
    <t>Lospalos - Souro STA 0+000 - 5+800</t>
  </si>
  <si>
    <t>Baricafa</t>
  </si>
  <si>
    <t>Parlamento</t>
  </si>
  <si>
    <t>Serelau</t>
  </si>
  <si>
    <t>Barikafa</t>
  </si>
  <si>
    <t>barikafa</t>
  </si>
  <si>
    <t xml:space="preserve">Iliomar </t>
  </si>
  <si>
    <t>Maina II</t>
  </si>
  <si>
    <t>Bauro</t>
  </si>
  <si>
    <t>Lore I</t>
  </si>
  <si>
    <t>Barikaca - Dirimuni STA 0+000 - 8+000</t>
  </si>
  <si>
    <t>Lakawa, Wairoke</t>
  </si>
  <si>
    <t>Parlamento,Com</t>
  </si>
  <si>
    <t>Baduro</t>
  </si>
  <si>
    <t>Caenliu</t>
  </si>
  <si>
    <t>maina I,Parlamento</t>
  </si>
  <si>
    <t>AC-BC</t>
  </si>
  <si>
    <t>IRI</t>
  </si>
  <si>
    <t>Plum/Bitumen</t>
  </si>
  <si>
    <t>telford</t>
  </si>
  <si>
    <t>PoP Serve</t>
  </si>
  <si>
    <t>Chai - Postu Foun Kapaleti STA. 0+000 - 3+000</t>
  </si>
  <si>
    <t>Lore I, II</t>
  </si>
  <si>
    <t>TOTAL LAUTEM MUNICIPALITY</t>
  </si>
  <si>
    <t>Road Priority Index (PI)</t>
  </si>
  <si>
    <t>Bitumen/Gravel</t>
  </si>
  <si>
    <t>bitumen</t>
  </si>
  <si>
    <t>rock</t>
  </si>
  <si>
    <t>End  Point</t>
  </si>
  <si>
    <t>International Roughness  Index (IRI)</t>
  </si>
  <si>
    <t>Annual Investment Plan for Rehabilitation  (in '000 USD)</t>
  </si>
  <si>
    <t>Sucos</t>
  </si>
  <si>
    <t>Priority Rangkin in Municipality</t>
  </si>
  <si>
    <t>RRMPIS Lautem Municipality and Annual Investment Plan for Rehabilitation 2023 - 2027</t>
  </si>
  <si>
    <t>LIST OF IDENTIFICATION  RURAL ROADS LAUTEM MUNICIPALITY</t>
  </si>
  <si>
    <t>D (ERA)</t>
  </si>
  <si>
    <t>E</t>
  </si>
  <si>
    <t>Com</t>
  </si>
  <si>
    <t>Com - Eteasa lepek Sta 0+000 - 2+500</t>
  </si>
  <si>
    <t>TOTAL LENGTH (Km)</t>
  </si>
  <si>
    <t>Road Name on going</t>
  </si>
  <si>
    <t>Code</t>
  </si>
  <si>
    <t>Length (Km)</t>
  </si>
  <si>
    <t>Road Name New</t>
  </si>
  <si>
    <t>Lori - Sokolo'o STA 0+000 - 5+000</t>
  </si>
  <si>
    <t>Road Class</t>
  </si>
  <si>
    <t>Remarks</t>
  </si>
  <si>
    <t>Km</t>
  </si>
  <si>
    <t>Completion</t>
  </si>
  <si>
    <t xml:space="preserve">On going </t>
  </si>
  <si>
    <t>Tender</t>
  </si>
  <si>
    <t>Plan</t>
  </si>
  <si>
    <t>Asphalt AC-BC</t>
  </si>
  <si>
    <t>Process</t>
  </si>
  <si>
    <t>LAUTEM</t>
  </si>
  <si>
    <t>Category</t>
  </si>
  <si>
    <t>Municipality</t>
  </si>
  <si>
    <t>Municipal Road</t>
  </si>
  <si>
    <t>Buihomau - Luro</t>
  </si>
  <si>
    <t>Trisula - Com</t>
  </si>
  <si>
    <t>Trisula - Mehara - Tutuala</t>
  </si>
  <si>
    <t>Lospalos - Lore - Iliomar</t>
  </si>
  <si>
    <t>Mac Adam/Gravel</t>
  </si>
  <si>
    <t>Class A</t>
  </si>
  <si>
    <t>Sub Total</t>
  </si>
  <si>
    <t>C</t>
  </si>
  <si>
    <t>Dadus Estrada Municipal Municipio Lautem</t>
  </si>
  <si>
    <t>TOTAL (KM) ESTRADA MUNICIPAL MUNICIPIO LAUTEM</t>
  </si>
  <si>
    <t>126.495130°</t>
  </si>
  <si>
    <t xml:space="preserve">  -8.24644°</t>
  </si>
  <si>
    <t>127.01997°</t>
  </si>
  <si>
    <t>127.019.97°</t>
  </si>
  <si>
    <t>126.595078°</t>
  </si>
  <si>
    <t>126.50203°</t>
  </si>
  <si>
    <t>127.32411°</t>
  </si>
  <si>
    <t>127.151812°</t>
  </si>
  <si>
    <t>126.544854°</t>
  </si>
  <si>
    <t xml:space="preserve"> -8.263849°</t>
  </si>
  <si>
    <t xml:space="preserve"> 8-.263849°</t>
  </si>
  <si>
    <t xml:space="preserve">  8-.315886°</t>
  </si>
  <si>
    <t xml:space="preserve">  -8.212062°</t>
  </si>
  <si>
    <t xml:space="preserve"> -8.323468°</t>
  </si>
  <si>
    <t xml:space="preserve">  -8.234329°</t>
  </si>
  <si>
    <t xml:space="preserve"> -8.42442°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</si>
</sst>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3" formatCode="_-* #,##0.00_-;\-* #,##0.00_-;_-* &quot;-&quot;??_-;_-@_-"/>
    <numFmt numFmtId="164" formatCode="_(* #,##0.00_);_(* \(#,##0.00\);_(* &quot;-&quot;??_);_(@_)"/>
    <numFmt numFmtId="165" formatCode="_-* #,##0.0_-;\-* #,##0.0_-;_-* &quot;-&quot;??_-;_-@_-"/>
    <numFmt numFmtId="166" formatCode="_-* #,##0_-;\-* #,##0_-;_-* &quot;-&quot;??_-;_-@_-"/>
    <numFmt numFmtId="167" formatCode="_-* #,##0.0_-;\-* #,##0.0_-;_-* &quot;-&quot;?_-;_-@_-"/>
    <numFmt numFmtId="168" formatCode="_(* #,##0_);_(* \(#,##0\);_(* &quot;-&quot;??_);_(@_)"/>
    <numFmt numFmtId="169" formatCode="0.0000"/>
    <numFmt numFmtId="170" formatCode="#,##0.0"/>
    <numFmt numFmtId="171" formatCode="0.000"/>
    <numFmt numFmtId="172" formatCode="_(* #,##0.0_);_(* \(#,##0.0\);_(* &quot;-&quot;??_);_(@_)"/>
    <numFmt numFmtId="173" formatCode="0.0"/>
    <numFmt numFmtId="174" formatCode="#,##0.000000"/>
    <numFmt numFmtId="175" formatCode="_(* #,##0.0_);_(* \(#,##0.0\);_(* &quot;-&quot;?_);_(@_)"/>
    <numFmt numFmtId="176" formatCode="_-* #,##0.000_-;\-* #,##0.000_-;_-* &quot;-&quot;??_-;_-@_-"/>
    <numFmt numFmtId="177" formatCode="_(* #,##0.000_);_(* \(#,##0.000\);_(* &quot;-&quot;??_);_(@_)"/>
    <numFmt numFmtId="178" formatCode="_-* #,##0.0000_-;\-* #,##0.0000_-;_-* &quot;-&quot;??_-;_-@_-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b/>
      <sz val="11"/>
      <color rgb="FFC00000"/>
      <name val="Arial Narrow"/>
      <family val="2"/>
    </font>
    <font>
      <b/>
      <sz val="11"/>
      <color rgb="FF0070C0"/>
      <name val="Arial Narrow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Arial Narrow"/>
      <family val="2"/>
    </font>
    <font>
      <sz val="11"/>
      <color rgb="FFFF0000"/>
      <name val="Arial Narrow"/>
      <family val="2"/>
    </font>
    <font>
      <b/>
      <sz val="8"/>
      <color theme="1"/>
      <name val="Arial Narrow"/>
      <family val="2"/>
    </font>
    <font>
      <b/>
      <sz val="18"/>
      <color theme="1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4"/>
      <color theme="1"/>
      <name val="Arial Narrow"/>
      <family val="2"/>
    </font>
    <font>
      <b/>
      <sz val="16"/>
      <name val="Arial Narrow"/>
      <family val="2"/>
    </font>
    <font>
      <b/>
      <sz val="16"/>
      <color theme="1"/>
      <name val="Calibri"/>
      <family val="2"/>
      <scheme val="minor"/>
    </font>
    <font>
      <sz val="11"/>
      <color theme="0"/>
      <name val="Arial Narrow"/>
      <family val="2"/>
    </font>
    <font>
      <sz val="16"/>
      <color theme="1"/>
      <name val="Arial Narrow"/>
      <family val="2"/>
    </font>
    <font>
      <b/>
      <sz val="16"/>
      <color theme="1"/>
      <name val="Arial Narrow"/>
      <family val="2"/>
    </font>
    <font>
      <b/>
      <sz val="18"/>
      <name val="Arial Narrow"/>
      <family val="2"/>
    </font>
    <font>
      <b/>
      <sz val="20"/>
      <name val="Arial Narrow"/>
      <family val="2"/>
    </font>
    <font>
      <b/>
      <sz val="16"/>
      <color theme="0"/>
      <name val="Arial Narrow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Arial Narrow"/>
      <family val="2"/>
    </font>
    <font>
      <sz val="16"/>
      <name val="Calibri"/>
      <family val="2"/>
      <scheme val="minor"/>
    </font>
    <font>
      <b/>
      <sz val="48"/>
      <color theme="1"/>
      <name val="Arial Narrow"/>
      <family val="2"/>
    </font>
    <font>
      <b/>
      <sz val="26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4"/>
      <name val="Arial Narrow"/>
      <family val="2"/>
    </font>
    <font>
      <sz val="11"/>
      <color theme="1"/>
      <name val="Tw Cen MT"/>
      <family val="2"/>
    </font>
    <font>
      <b/>
      <sz val="11"/>
      <color theme="1"/>
      <name val="Tw Cen MT"/>
      <family val="2"/>
    </font>
    <font>
      <b/>
      <sz val="16"/>
      <color theme="1"/>
      <name val="Tw Cen MT"/>
      <family val="2"/>
    </font>
    <font>
      <b/>
      <sz val="18"/>
      <name val="Tw Cen MT"/>
      <family val="2"/>
    </font>
    <font>
      <b/>
      <sz val="18"/>
      <color theme="1"/>
      <name val="Tw Cen MT"/>
      <family val="2"/>
    </font>
    <font>
      <b/>
      <sz val="20"/>
      <name val="Tw Cen MT"/>
      <family val="2"/>
    </font>
    <font>
      <b/>
      <sz val="16"/>
      <color theme="0"/>
      <name val="Tw Cen MT"/>
      <family val="2"/>
    </font>
    <font>
      <sz val="16"/>
      <color theme="1"/>
      <name val="Tw Cen MT"/>
      <family val="2"/>
    </font>
    <font>
      <b/>
      <sz val="26"/>
      <color theme="1"/>
      <name val="Tw Cen MT"/>
      <family val="2"/>
    </font>
    <font>
      <b/>
      <sz val="14"/>
      <color theme="1"/>
      <name val="Tw Cen MT"/>
      <family val="2"/>
    </font>
    <font>
      <sz val="14"/>
      <color theme="1"/>
      <name val="Tw Cen MT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76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vertical="center"/>
    </xf>
    <xf numFmtId="165" fontId="4" fillId="0" borderId="1" xfId="1" applyNumberFormat="1" applyFont="1" applyBorder="1" applyAlignment="1">
      <alignment vertical="center"/>
    </xf>
    <xf numFmtId="165" fontId="4" fillId="2" borderId="1" xfId="1" applyNumberFormat="1" applyFont="1" applyFill="1" applyBorder="1" applyAlignment="1">
      <alignment vertical="center"/>
    </xf>
    <xf numFmtId="165" fontId="4" fillId="0" borderId="1" xfId="1" applyNumberFormat="1" applyFont="1" applyFill="1" applyBorder="1" applyAlignment="1">
      <alignment vertical="center"/>
    </xf>
    <xf numFmtId="166" fontId="4" fillId="0" borderId="0" xfId="1" applyNumberFormat="1" applyFont="1"/>
    <xf numFmtId="0" fontId="4" fillId="3" borderId="1" xfId="0" applyFont="1" applyFill="1" applyBorder="1" applyAlignment="1">
      <alignment vertical="center"/>
    </xf>
    <xf numFmtId="165" fontId="4" fillId="3" borderId="1" xfId="1" applyNumberFormat="1" applyFont="1" applyFill="1" applyBorder="1" applyAlignment="1">
      <alignment vertical="center"/>
    </xf>
    <xf numFmtId="166" fontId="4" fillId="2" borderId="1" xfId="1" applyNumberFormat="1" applyFont="1" applyFill="1" applyBorder="1" applyAlignment="1">
      <alignment vertical="center"/>
    </xf>
    <xf numFmtId="165" fontId="3" fillId="0" borderId="1" xfId="1" applyNumberFormat="1" applyFont="1" applyBorder="1" applyAlignment="1">
      <alignment vertical="center"/>
    </xf>
    <xf numFmtId="166" fontId="3" fillId="0" borderId="1" xfId="1" applyNumberFormat="1" applyFont="1" applyBorder="1" applyAlignment="1">
      <alignment vertical="center"/>
    </xf>
    <xf numFmtId="166" fontId="4" fillId="0" borderId="1" xfId="1" applyNumberFormat="1" applyFont="1" applyBorder="1"/>
    <xf numFmtId="0" fontId="4" fillId="0" borderId="7" xfId="0" applyFont="1" applyBorder="1" applyAlignment="1">
      <alignment horizontal="center"/>
    </xf>
    <xf numFmtId="0" fontId="4" fillId="0" borderId="0" xfId="0" applyFont="1" applyAlignment="1">
      <alignment horizontal="center"/>
    </xf>
    <xf numFmtId="167" fontId="4" fillId="0" borderId="1" xfId="0" applyNumberFormat="1" applyFont="1" applyBorder="1" applyAlignment="1">
      <alignment vertical="center"/>
    </xf>
    <xf numFmtId="0" fontId="4" fillId="4" borderId="6" xfId="0" applyFont="1" applyFill="1" applyBorder="1" applyAlignment="1">
      <alignment horizontal="left"/>
    </xf>
    <xf numFmtId="0" fontId="4" fillId="3" borderId="12" xfId="0" applyFont="1" applyFill="1" applyBorder="1" applyAlignment="1">
      <alignment horizontal="left"/>
    </xf>
    <xf numFmtId="0" fontId="4" fillId="2" borderId="12" xfId="0" applyFont="1" applyFill="1" applyBorder="1" applyAlignment="1">
      <alignment horizontal="left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7" xfId="0" applyBorder="1"/>
    <xf numFmtId="0" fontId="0" fillId="0" borderId="1" xfId="0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0" fontId="0" fillId="3" borderId="7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4" borderId="1" xfId="0" applyFill="1" applyBorder="1" applyAlignment="1">
      <alignment horizontal="center"/>
    </xf>
    <xf numFmtId="168" fontId="0" fillId="0" borderId="7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/>
    </xf>
    <xf numFmtId="168" fontId="0" fillId="0" borderId="1" xfId="1" applyNumberFormat="1" applyFont="1" applyFill="1" applyBorder="1" applyAlignment="1">
      <alignment horizontal="center" vertical="center"/>
    </xf>
    <xf numFmtId="168" fontId="0" fillId="0" borderId="7" xfId="1" applyNumberFormat="1" applyFont="1" applyFill="1" applyBorder="1" applyAlignment="1">
      <alignment horizontal="center" vertical="center"/>
    </xf>
    <xf numFmtId="168" fontId="4" fillId="4" borderId="1" xfId="0" applyNumberFormat="1" applyFont="1" applyFill="1" applyBorder="1" applyAlignment="1">
      <alignment vertical="center"/>
    </xf>
    <xf numFmtId="168" fontId="4" fillId="3" borderId="1" xfId="0" applyNumberFormat="1" applyFont="1" applyFill="1" applyBorder="1" applyAlignment="1">
      <alignment vertical="center"/>
    </xf>
    <xf numFmtId="0" fontId="0" fillId="6" borderId="1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4" fillId="4" borderId="1" xfId="0" applyFont="1" applyFill="1" applyBorder="1" applyAlignment="1">
      <alignment vertical="center"/>
    </xf>
    <xf numFmtId="43" fontId="4" fillId="2" borderId="1" xfId="1" applyFont="1" applyFill="1" applyBorder="1" applyAlignment="1">
      <alignment vertical="center"/>
    </xf>
    <xf numFmtId="43" fontId="4" fillId="4" borderId="1" xfId="0" applyNumberFormat="1" applyFont="1" applyFill="1" applyBorder="1" applyAlignment="1">
      <alignment vertical="center"/>
    </xf>
    <xf numFmtId="167" fontId="4" fillId="4" borderId="1" xfId="0" applyNumberFormat="1" applyFont="1" applyFill="1" applyBorder="1" applyAlignment="1">
      <alignment vertical="center"/>
    </xf>
    <xf numFmtId="165" fontId="4" fillId="4" borderId="1" xfId="1" applyNumberFormat="1" applyFont="1" applyFill="1" applyBorder="1" applyAlignment="1">
      <alignment vertical="center"/>
    </xf>
    <xf numFmtId="166" fontId="3" fillId="4" borderId="1" xfId="1" applyNumberFormat="1" applyFont="1" applyFill="1" applyBorder="1" applyAlignment="1">
      <alignment vertical="center"/>
    </xf>
    <xf numFmtId="43" fontId="3" fillId="0" borderId="1" xfId="1" applyFont="1" applyBorder="1" applyAlignment="1">
      <alignment vertical="center"/>
    </xf>
    <xf numFmtId="0" fontId="0" fillId="7" borderId="14" xfId="0" applyFill="1" applyBorder="1" applyAlignment="1">
      <alignment horizontal="center"/>
    </xf>
    <xf numFmtId="0" fontId="0" fillId="7" borderId="1" xfId="0" applyFill="1" applyBorder="1" applyAlignment="1">
      <alignment horizontal="center" wrapText="1"/>
    </xf>
    <xf numFmtId="0" fontId="4" fillId="7" borderId="1" xfId="0" applyFont="1" applyFill="1" applyBorder="1" applyAlignment="1">
      <alignment vertical="center"/>
    </xf>
    <xf numFmtId="0" fontId="4" fillId="7" borderId="1" xfId="0" applyFont="1" applyFill="1" applyBorder="1" applyAlignment="1">
      <alignment horizontal="center" vertical="center"/>
    </xf>
    <xf numFmtId="165" fontId="4" fillId="7" borderId="1" xfId="1" applyNumberFormat="1" applyFont="1" applyFill="1" applyBorder="1" applyAlignment="1">
      <alignment vertical="center"/>
    </xf>
    <xf numFmtId="0" fontId="4" fillId="7" borderId="1" xfId="0" applyFont="1" applyFill="1" applyBorder="1"/>
    <xf numFmtId="166" fontId="4" fillId="7" borderId="1" xfId="1" applyNumberFormat="1" applyFont="1" applyFill="1" applyBorder="1"/>
    <xf numFmtId="0" fontId="4" fillId="0" borderId="6" xfId="0" applyFont="1" applyBorder="1" applyAlignment="1">
      <alignment vertical="center"/>
    </xf>
    <xf numFmtId="166" fontId="4" fillId="0" borderId="6" xfId="1" applyNumberFormat="1" applyFont="1" applyBorder="1"/>
    <xf numFmtId="0" fontId="4" fillId="0" borderId="0" xfId="0" applyFont="1" applyAlignment="1">
      <alignment vertical="center"/>
    </xf>
    <xf numFmtId="0" fontId="0" fillId="2" borderId="6" xfId="0" applyFill="1" applyBorder="1" applyAlignment="1">
      <alignment horizontal="center"/>
    </xf>
    <xf numFmtId="168" fontId="0" fillId="0" borderId="6" xfId="1" applyNumberFormat="1" applyFont="1" applyFill="1" applyBorder="1" applyAlignment="1">
      <alignment horizontal="center" vertical="center"/>
    </xf>
    <xf numFmtId="168" fontId="8" fillId="0" borderId="7" xfId="0" applyNumberFormat="1" applyFont="1" applyBorder="1" applyAlignment="1">
      <alignment horizontal="center" vertical="center"/>
    </xf>
    <xf numFmtId="168" fontId="4" fillId="0" borderId="1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169" fontId="8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" fontId="4" fillId="3" borderId="1" xfId="1" applyNumberFormat="1" applyFont="1" applyFill="1" applyBorder="1" applyAlignment="1">
      <alignment horizontal="center" vertical="center"/>
    </xf>
    <xf numFmtId="0" fontId="5" fillId="0" borderId="11" xfId="0" applyFont="1" applyBorder="1"/>
    <xf numFmtId="0" fontId="5" fillId="0" borderId="5" xfId="0" applyFont="1" applyBorder="1"/>
    <xf numFmtId="165" fontId="4" fillId="0" borderId="6" xfId="1" applyNumberFormat="1" applyFont="1" applyFill="1" applyBorder="1" applyAlignment="1">
      <alignment vertical="center"/>
    </xf>
    <xf numFmtId="4" fontId="4" fillId="0" borderId="1" xfId="0" applyNumberFormat="1" applyFont="1" applyBorder="1" applyAlignment="1">
      <alignment vertical="center"/>
    </xf>
    <xf numFmtId="170" fontId="4" fillId="0" borderId="1" xfId="0" applyNumberFormat="1" applyFont="1" applyBorder="1" applyAlignment="1">
      <alignment vertical="center"/>
    </xf>
    <xf numFmtId="3" fontId="4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0" fillId="9" borderId="1" xfId="0" applyFill="1" applyBorder="1" applyAlignment="1">
      <alignment horizontal="center"/>
    </xf>
    <xf numFmtId="0" fontId="0" fillId="6" borderId="1" xfId="0" applyFill="1" applyBorder="1"/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4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66" fontId="4" fillId="11" borderId="1" xfId="1" applyNumberFormat="1" applyFont="1" applyFill="1" applyBorder="1" applyAlignment="1">
      <alignment vertical="center"/>
    </xf>
    <xf numFmtId="0" fontId="16" fillId="0" borderId="0" xfId="0" applyFont="1"/>
    <xf numFmtId="0" fontId="19" fillId="0" borderId="0" xfId="0" applyFont="1"/>
    <xf numFmtId="0" fontId="26" fillId="0" borderId="1" xfId="0" applyFont="1" applyBorder="1" applyAlignment="1">
      <alignment vertical="center"/>
    </xf>
    <xf numFmtId="0" fontId="26" fillId="0" borderId="15" xfId="0" applyFont="1" applyBorder="1" applyAlignment="1">
      <alignment vertical="center"/>
    </xf>
    <xf numFmtId="0" fontId="25" fillId="0" borderId="15" xfId="0" applyFont="1" applyBorder="1"/>
    <xf numFmtId="0" fontId="25" fillId="0" borderId="15" xfId="0" applyFont="1" applyBorder="1" applyAlignment="1">
      <alignment vertical="center"/>
    </xf>
    <xf numFmtId="0" fontId="25" fillId="0" borderId="1" xfId="0" applyFont="1" applyBorder="1"/>
    <xf numFmtId="168" fontId="25" fillId="0" borderId="1" xfId="0" applyNumberFormat="1" applyFont="1" applyBorder="1" applyAlignment="1">
      <alignment vertical="center"/>
    </xf>
    <xf numFmtId="166" fontId="25" fillId="0" borderId="1" xfId="1" applyNumberFormat="1" applyFont="1" applyFill="1" applyBorder="1" applyAlignment="1">
      <alignment vertical="center"/>
    </xf>
    <xf numFmtId="0" fontId="26" fillId="0" borderId="17" xfId="0" applyFont="1" applyBorder="1" applyAlignment="1">
      <alignment vertical="center"/>
    </xf>
    <xf numFmtId="0" fontId="25" fillId="0" borderId="17" xfId="0" applyFont="1" applyBorder="1"/>
    <xf numFmtId="166" fontId="26" fillId="0" borderId="17" xfId="1" applyNumberFormat="1" applyFont="1" applyBorder="1" applyAlignment="1">
      <alignment vertical="center"/>
    </xf>
    <xf numFmtId="0" fontId="18" fillId="4" borderId="15" xfId="0" applyFont="1" applyFill="1" applyBorder="1" applyAlignment="1">
      <alignment horizontal="center" vertical="center"/>
    </xf>
    <xf numFmtId="43" fontId="27" fillId="4" borderId="15" xfId="1" applyFont="1" applyFill="1" applyBorder="1" applyAlignment="1">
      <alignment horizontal="right" vertical="center"/>
    </xf>
    <xf numFmtId="167" fontId="27" fillId="4" borderId="15" xfId="0" applyNumberFormat="1" applyFont="1" applyFill="1" applyBorder="1" applyAlignment="1">
      <alignment horizontal="right" vertical="center"/>
    </xf>
    <xf numFmtId="168" fontId="27" fillId="4" borderId="15" xfId="0" applyNumberFormat="1" applyFont="1" applyFill="1" applyBorder="1" applyAlignment="1">
      <alignment horizontal="right" vertical="center"/>
    </xf>
    <xf numFmtId="165" fontId="27" fillId="4" borderId="15" xfId="1" applyNumberFormat="1" applyFont="1" applyFill="1" applyBorder="1" applyAlignment="1">
      <alignment horizontal="right" vertical="center"/>
    </xf>
    <xf numFmtId="164" fontId="27" fillId="4" borderId="15" xfId="1" applyNumberFormat="1" applyFont="1" applyFill="1" applyBorder="1" applyAlignment="1">
      <alignment horizontal="right" vertical="center"/>
    </xf>
    <xf numFmtId="166" fontId="27" fillId="4" borderId="15" xfId="1" applyNumberFormat="1" applyFont="1" applyFill="1" applyBorder="1" applyAlignment="1">
      <alignment horizontal="right" vertical="center"/>
    </xf>
    <xf numFmtId="166" fontId="18" fillId="4" borderId="15" xfId="1" applyNumberFormat="1" applyFont="1" applyFill="1" applyBorder="1" applyAlignment="1">
      <alignment horizontal="right" vertical="center"/>
    </xf>
    <xf numFmtId="0" fontId="18" fillId="3" borderId="1" xfId="0" applyFont="1" applyFill="1" applyBorder="1" applyAlignment="1">
      <alignment horizontal="center" vertical="center"/>
    </xf>
    <xf numFmtId="43" fontId="27" fillId="3" borderId="1" xfId="1" applyFont="1" applyFill="1" applyBorder="1" applyAlignment="1">
      <alignment horizontal="right" vertical="center"/>
    </xf>
    <xf numFmtId="168" fontId="27" fillId="3" borderId="1" xfId="0" applyNumberFormat="1" applyFont="1" applyFill="1" applyBorder="1" applyAlignment="1">
      <alignment horizontal="right" vertical="center"/>
    </xf>
    <xf numFmtId="165" fontId="27" fillId="3" borderId="1" xfId="1" applyNumberFormat="1" applyFont="1" applyFill="1" applyBorder="1" applyAlignment="1">
      <alignment horizontal="right" vertical="center"/>
    </xf>
    <xf numFmtId="166" fontId="27" fillId="3" borderId="1" xfId="1" applyNumberFormat="1" applyFont="1" applyFill="1" applyBorder="1" applyAlignment="1">
      <alignment horizontal="right" vertical="center"/>
    </xf>
    <xf numFmtId="166" fontId="18" fillId="3" borderId="1" xfId="1" applyNumberFormat="1" applyFont="1" applyFill="1" applyBorder="1" applyAlignment="1">
      <alignment horizontal="right" vertical="center"/>
    </xf>
    <xf numFmtId="0" fontId="18" fillId="2" borderId="1" xfId="0" applyFont="1" applyFill="1" applyBorder="1" applyAlignment="1">
      <alignment horizontal="center" vertical="center"/>
    </xf>
    <xf numFmtId="43" fontId="27" fillId="2" borderId="1" xfId="1" applyFont="1" applyFill="1" applyBorder="1" applyAlignment="1">
      <alignment horizontal="right" vertical="center"/>
    </xf>
    <xf numFmtId="165" fontId="27" fillId="2" borderId="1" xfId="1" applyNumberFormat="1" applyFont="1" applyFill="1" applyBorder="1" applyAlignment="1">
      <alignment horizontal="right" vertical="center"/>
    </xf>
    <xf numFmtId="166" fontId="27" fillId="2" borderId="1" xfId="1" applyNumberFormat="1" applyFont="1" applyFill="1" applyBorder="1" applyAlignment="1">
      <alignment horizontal="right" vertical="center"/>
    </xf>
    <xf numFmtId="166" fontId="18" fillId="2" borderId="1" xfId="1" applyNumberFormat="1" applyFont="1" applyFill="1" applyBorder="1" applyAlignment="1">
      <alignment horizontal="right" vertical="center"/>
    </xf>
    <xf numFmtId="0" fontId="18" fillId="0" borderId="17" xfId="0" applyFont="1" applyBorder="1" applyAlignment="1">
      <alignment horizontal="center" vertical="center"/>
    </xf>
    <xf numFmtId="43" fontId="18" fillId="0" borderId="17" xfId="1" applyFont="1" applyBorder="1" applyAlignment="1">
      <alignment horizontal="center" vertical="center"/>
    </xf>
    <xf numFmtId="165" fontId="18" fillId="0" borderId="17" xfId="1" applyNumberFormat="1" applyFont="1" applyBorder="1" applyAlignment="1">
      <alignment horizontal="right" vertical="center"/>
    </xf>
    <xf numFmtId="0" fontId="27" fillId="0" borderId="7" xfId="0" applyFont="1" applyBorder="1" applyAlignment="1">
      <alignment horizontal="center" vertical="center"/>
    </xf>
    <xf numFmtId="171" fontId="27" fillId="0" borderId="1" xfId="0" applyNumberFormat="1" applyFont="1" applyBorder="1" applyAlignment="1">
      <alignment horizontal="center" vertical="center"/>
    </xf>
    <xf numFmtId="166" fontId="20" fillId="0" borderId="7" xfId="1" applyNumberFormat="1" applyFont="1" applyBorder="1" applyAlignment="1">
      <alignment vertical="center"/>
    </xf>
    <xf numFmtId="168" fontId="27" fillId="0" borderId="7" xfId="0" applyNumberFormat="1" applyFont="1" applyBorder="1" applyAlignment="1">
      <alignment horizontal="center" vertical="center"/>
    </xf>
    <xf numFmtId="175" fontId="27" fillId="4" borderId="7" xfId="0" applyNumberFormat="1" applyFont="1" applyFill="1" applyBorder="1" applyAlignment="1">
      <alignment horizontal="center" vertical="center"/>
    </xf>
    <xf numFmtId="175" fontId="27" fillId="3" borderId="7" xfId="0" applyNumberFormat="1" applyFont="1" applyFill="1" applyBorder="1" applyAlignment="1">
      <alignment horizontal="center" vertical="center"/>
    </xf>
    <xf numFmtId="0" fontId="27" fillId="0" borderId="14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7" fillId="0" borderId="1" xfId="0" applyFont="1" applyBorder="1" applyAlignment="1">
      <alignment vertical="center"/>
    </xf>
    <xf numFmtId="4" fontId="20" fillId="0" borderId="1" xfId="0" applyNumberFormat="1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167" fontId="20" fillId="0" borderId="1" xfId="0" applyNumberFormat="1" applyFont="1" applyBorder="1" applyAlignment="1">
      <alignment vertical="center"/>
    </xf>
    <xf numFmtId="165" fontId="20" fillId="0" borderId="1" xfId="1" applyNumberFormat="1" applyFont="1" applyFill="1" applyBorder="1" applyAlignment="1">
      <alignment vertical="center"/>
    </xf>
    <xf numFmtId="166" fontId="20" fillId="0" borderId="1" xfId="1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vertical="center"/>
    </xf>
    <xf numFmtId="165" fontId="20" fillId="4" borderId="1" xfId="1" applyNumberFormat="1" applyFont="1" applyFill="1" applyBorder="1" applyAlignment="1">
      <alignment vertical="center"/>
    </xf>
    <xf numFmtId="165" fontId="20" fillId="3" borderId="1" xfId="1" applyNumberFormat="1" applyFont="1" applyFill="1" applyBorder="1" applyAlignment="1">
      <alignment vertical="center"/>
    </xf>
    <xf numFmtId="165" fontId="20" fillId="4" borderId="1" xfId="0" applyNumberFormat="1" applyFont="1" applyFill="1" applyBorder="1" applyAlignment="1">
      <alignment vertical="center"/>
    </xf>
    <xf numFmtId="0" fontId="20" fillId="0" borderId="24" xfId="0" applyFont="1" applyBorder="1" applyAlignment="1">
      <alignment vertical="center"/>
    </xf>
    <xf numFmtId="0" fontId="27" fillId="0" borderId="14" xfId="0" applyFont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43" fontId="20" fillId="0" borderId="1" xfId="1" applyFont="1" applyBorder="1" applyAlignment="1">
      <alignment vertical="center"/>
    </xf>
    <xf numFmtId="0" fontId="27" fillId="0" borderId="1" xfId="0" applyFont="1" applyBorder="1" applyAlignment="1">
      <alignment horizontal="left" vertical="center" wrapText="1"/>
    </xf>
    <xf numFmtId="0" fontId="27" fillId="0" borderId="1" xfId="0" applyFont="1" applyBorder="1" applyAlignment="1">
      <alignment horizontal="left" vertical="center"/>
    </xf>
    <xf numFmtId="0" fontId="27" fillId="0" borderId="1" xfId="0" applyFont="1" applyBorder="1" applyAlignment="1">
      <alignment vertical="center" wrapText="1"/>
    </xf>
    <xf numFmtId="3" fontId="20" fillId="0" borderId="1" xfId="0" applyNumberFormat="1" applyFont="1" applyBorder="1" applyAlignment="1">
      <alignment vertical="center"/>
    </xf>
    <xf numFmtId="0" fontId="27" fillId="4" borderId="7" xfId="0" applyFont="1" applyFill="1" applyBorder="1" applyAlignment="1">
      <alignment horizontal="center" vertical="center"/>
    </xf>
    <xf numFmtId="0" fontId="27" fillId="7" borderId="14" xfId="0" applyFont="1" applyFill="1" applyBorder="1" applyAlignment="1">
      <alignment horizontal="center" vertical="center"/>
    </xf>
    <xf numFmtId="0" fontId="27" fillId="7" borderId="1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vertical="center"/>
    </xf>
    <xf numFmtId="165" fontId="20" fillId="7" borderId="1" xfId="1" applyNumberFormat="1" applyFont="1" applyFill="1" applyBorder="1" applyAlignment="1">
      <alignment vertical="center"/>
    </xf>
    <xf numFmtId="0" fontId="20" fillId="7" borderId="1" xfId="0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vertical="center"/>
    </xf>
    <xf numFmtId="171" fontId="27" fillId="7" borderId="1" xfId="0" applyNumberFormat="1" applyFont="1" applyFill="1" applyBorder="1" applyAlignment="1">
      <alignment horizontal="center" vertical="center"/>
    </xf>
    <xf numFmtId="165" fontId="20" fillId="11" borderId="1" xfId="1" applyNumberFormat="1" applyFont="1" applyFill="1" applyBorder="1" applyAlignment="1">
      <alignment vertical="center"/>
    </xf>
    <xf numFmtId="166" fontId="20" fillId="11" borderId="1" xfId="1" applyNumberFormat="1" applyFont="1" applyFill="1" applyBorder="1" applyAlignment="1">
      <alignment vertical="center"/>
    </xf>
    <xf numFmtId="166" fontId="20" fillId="7" borderId="1" xfId="1" applyNumberFormat="1" applyFont="1" applyFill="1" applyBorder="1" applyAlignment="1">
      <alignment vertical="center"/>
    </xf>
    <xf numFmtId="0" fontId="20" fillId="11" borderId="24" xfId="0" applyFont="1" applyFill="1" applyBorder="1" applyAlignment="1">
      <alignment vertical="center"/>
    </xf>
    <xf numFmtId="174" fontId="28" fillId="0" borderId="1" xfId="0" applyNumberFormat="1" applyFont="1" applyBorder="1" applyAlignment="1">
      <alignment horizontal="center" vertical="center"/>
    </xf>
    <xf numFmtId="171" fontId="27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168" fontId="20" fillId="0" borderId="1" xfId="0" applyNumberFormat="1" applyFont="1" applyBorder="1" applyAlignment="1">
      <alignment vertical="center"/>
    </xf>
    <xf numFmtId="166" fontId="27" fillId="2" borderId="1" xfId="0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horizontal="center" vertical="center"/>
    </xf>
    <xf numFmtId="166" fontId="27" fillId="2" borderId="1" xfId="1" applyNumberFormat="1" applyFont="1" applyFill="1" applyBorder="1" applyAlignment="1">
      <alignment horizontal="center" vertical="center"/>
    </xf>
    <xf numFmtId="172" fontId="20" fillId="2" borderId="1" xfId="0" applyNumberFormat="1" applyFont="1" applyFill="1" applyBorder="1" applyAlignment="1">
      <alignment vertical="center"/>
    </xf>
    <xf numFmtId="165" fontId="20" fillId="2" borderId="1" xfId="1" applyNumberFormat="1" applyFont="1" applyFill="1" applyBorder="1" applyAlignment="1">
      <alignment vertical="center"/>
    </xf>
    <xf numFmtId="166" fontId="27" fillId="4" borderId="1" xfId="0" applyNumberFormat="1" applyFont="1" applyFill="1" applyBorder="1" applyAlignment="1">
      <alignment horizontal="center" vertical="center"/>
    </xf>
    <xf numFmtId="166" fontId="20" fillId="4" borderId="1" xfId="1" applyNumberFormat="1" applyFont="1" applyFill="1" applyBorder="1" applyAlignment="1">
      <alignment horizontal="center" vertical="center"/>
    </xf>
    <xf numFmtId="174" fontId="20" fillId="0" borderId="1" xfId="0" applyNumberFormat="1" applyFont="1" applyBorder="1" applyAlignment="1">
      <alignment horizontal="center" vertical="center"/>
    </xf>
    <xf numFmtId="0" fontId="27" fillId="6" borderId="1" xfId="0" applyFont="1" applyFill="1" applyBorder="1" applyAlignment="1">
      <alignment vertical="center"/>
    </xf>
    <xf numFmtId="0" fontId="29" fillId="0" borderId="1" xfId="0" applyFont="1" applyBorder="1" applyAlignment="1">
      <alignment horizontal="center" vertical="center"/>
    </xf>
    <xf numFmtId="0" fontId="20" fillId="4" borderId="1" xfId="0" applyFont="1" applyFill="1" applyBorder="1" applyAlignment="1">
      <alignment vertical="center"/>
    </xf>
    <xf numFmtId="0" fontId="20" fillId="0" borderId="1" xfId="0" applyFont="1" applyBorder="1" applyAlignment="1">
      <alignment horizontal="left" vertical="center"/>
    </xf>
    <xf numFmtId="0" fontId="20" fillId="2" borderId="1" xfId="0" applyFont="1" applyFill="1" applyBorder="1" applyAlignment="1">
      <alignment horizontal="center" vertical="center"/>
    </xf>
    <xf numFmtId="166" fontId="20" fillId="0" borderId="1" xfId="1" applyNumberFormat="1" applyFont="1" applyFill="1" applyBorder="1" applyAlignment="1">
      <alignment horizontal="center" vertical="center"/>
    </xf>
    <xf numFmtId="173" fontId="20" fillId="4" borderId="1" xfId="0" applyNumberFormat="1" applyFont="1" applyFill="1" applyBorder="1" applyAlignment="1">
      <alignment vertical="center"/>
    </xf>
    <xf numFmtId="165" fontId="20" fillId="2" borderId="1" xfId="0" applyNumberFormat="1" applyFont="1" applyFill="1" applyBorder="1" applyAlignment="1">
      <alignment vertical="center"/>
    </xf>
    <xf numFmtId="0" fontId="27" fillId="4" borderId="1" xfId="0" applyFont="1" applyFill="1" applyBorder="1" applyAlignment="1">
      <alignment horizontal="center" vertical="center"/>
    </xf>
    <xf numFmtId="175" fontId="27" fillId="4" borderId="1" xfId="0" applyNumberFormat="1" applyFont="1" applyFill="1" applyBorder="1" applyAlignment="1">
      <alignment horizontal="center" vertical="center"/>
    </xf>
    <xf numFmtId="175" fontId="27" fillId="3" borderId="1" xfId="0" applyNumberFormat="1" applyFont="1" applyFill="1" applyBorder="1" applyAlignment="1">
      <alignment horizontal="center" vertical="center"/>
    </xf>
    <xf numFmtId="174" fontId="20" fillId="0" borderId="6" xfId="0" applyNumberFormat="1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0" fontId="27" fillId="0" borderId="6" xfId="0" applyFont="1" applyBorder="1" applyAlignment="1">
      <alignment vertical="center"/>
    </xf>
    <xf numFmtId="0" fontId="27" fillId="4" borderId="6" xfId="0" applyFont="1" applyFill="1" applyBorder="1" applyAlignment="1">
      <alignment horizontal="center" vertical="center"/>
    </xf>
    <xf numFmtId="166" fontId="20" fillId="0" borderId="6" xfId="1" applyNumberFormat="1" applyFont="1" applyFill="1" applyBorder="1" applyAlignment="1">
      <alignment vertical="center"/>
    </xf>
    <xf numFmtId="0" fontId="20" fillId="0" borderId="6" xfId="0" applyFont="1" applyBorder="1" applyAlignment="1">
      <alignment horizontal="center" vertical="center"/>
    </xf>
    <xf numFmtId="0" fontId="20" fillId="0" borderId="6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13" fillId="4" borderId="6" xfId="0" applyFont="1" applyFill="1" applyBorder="1" applyAlignment="1">
      <alignment horizontal="left"/>
    </xf>
    <xf numFmtId="0" fontId="13" fillId="3" borderId="12" xfId="0" applyFont="1" applyFill="1" applyBorder="1" applyAlignment="1">
      <alignment horizontal="left"/>
    </xf>
    <xf numFmtId="0" fontId="13" fillId="2" borderId="12" xfId="0" applyFont="1" applyFill="1" applyBorder="1" applyAlignment="1">
      <alignment horizontal="left"/>
    </xf>
    <xf numFmtId="0" fontId="13" fillId="0" borderId="3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72" fontId="20" fillId="0" borderId="1" xfId="0" applyNumberFormat="1" applyFont="1" applyBorder="1" applyAlignment="1">
      <alignment vertical="center"/>
    </xf>
    <xf numFmtId="165" fontId="20" fillId="0" borderId="6" xfId="1" applyNumberFormat="1" applyFont="1" applyFill="1" applyBorder="1" applyAlignment="1">
      <alignment vertical="center"/>
    </xf>
    <xf numFmtId="168" fontId="20" fillId="0" borderId="6" xfId="0" applyNumberFormat="1" applyFont="1" applyBorder="1" applyAlignment="1">
      <alignment vertical="center"/>
    </xf>
    <xf numFmtId="0" fontId="27" fillId="0" borderId="15" xfId="0" applyFont="1" applyBorder="1" applyAlignment="1">
      <alignment horizontal="center" vertical="center"/>
    </xf>
    <xf numFmtId="0" fontId="20" fillId="0" borderId="15" xfId="0" applyFont="1" applyBorder="1" applyAlignment="1">
      <alignment vertical="center"/>
    </xf>
    <xf numFmtId="0" fontId="27" fillId="0" borderId="15" xfId="0" applyFont="1" applyBorder="1" applyAlignment="1">
      <alignment vertical="center"/>
    </xf>
    <xf numFmtId="4" fontId="20" fillId="0" borderId="15" xfId="0" applyNumberFormat="1" applyFont="1" applyBorder="1" applyAlignment="1">
      <alignment vertical="center"/>
    </xf>
    <xf numFmtId="167" fontId="20" fillId="0" borderId="15" xfId="0" applyNumberFormat="1" applyFont="1" applyBorder="1" applyAlignment="1">
      <alignment vertical="center"/>
    </xf>
    <xf numFmtId="171" fontId="27" fillId="0" borderId="15" xfId="0" applyNumberFormat="1" applyFont="1" applyBorder="1" applyAlignment="1">
      <alignment horizontal="center" vertical="center"/>
    </xf>
    <xf numFmtId="165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Fill="1" applyBorder="1" applyAlignment="1">
      <alignment vertical="center"/>
    </xf>
    <xf numFmtId="166" fontId="20" fillId="0" borderId="15" xfId="1" applyNumberFormat="1" applyFont="1" applyBorder="1" applyAlignment="1">
      <alignment vertical="center"/>
    </xf>
    <xf numFmtId="168" fontId="27" fillId="0" borderId="15" xfId="0" applyNumberFormat="1" applyFont="1" applyBorder="1" applyAlignment="1">
      <alignment horizontal="center" vertical="center"/>
    </xf>
    <xf numFmtId="172" fontId="20" fillId="0" borderId="15" xfId="0" applyNumberFormat="1" applyFont="1" applyBorder="1" applyAlignment="1">
      <alignment vertical="center"/>
    </xf>
    <xf numFmtId="175" fontId="27" fillId="4" borderId="15" xfId="0" applyNumberFormat="1" applyFont="1" applyFill="1" applyBorder="1" applyAlignment="1">
      <alignment horizontal="center" vertical="center"/>
    </xf>
    <xf numFmtId="172" fontId="20" fillId="4" borderId="15" xfId="0" applyNumberFormat="1" applyFont="1" applyFill="1" applyBorder="1" applyAlignment="1">
      <alignment vertical="center"/>
    </xf>
    <xf numFmtId="165" fontId="20" fillId="4" borderId="15" xfId="1" applyNumberFormat="1" applyFont="1" applyFill="1" applyBorder="1" applyAlignment="1">
      <alignment vertical="center"/>
    </xf>
    <xf numFmtId="175" fontId="27" fillId="3" borderId="15" xfId="0" applyNumberFormat="1" applyFont="1" applyFill="1" applyBorder="1" applyAlignment="1">
      <alignment horizontal="center" vertical="center"/>
    </xf>
    <xf numFmtId="165" fontId="20" fillId="3" borderId="15" xfId="1" applyNumberFormat="1" applyFont="1" applyFill="1" applyBorder="1" applyAlignment="1">
      <alignment vertical="center"/>
    </xf>
    <xf numFmtId="165" fontId="20" fillId="4" borderId="15" xfId="0" applyNumberFormat="1" applyFont="1" applyFill="1" applyBorder="1" applyAlignment="1">
      <alignment vertical="center"/>
    </xf>
    <xf numFmtId="0" fontId="20" fillId="0" borderId="39" xfId="0" applyFont="1" applyBorder="1" applyAlignment="1">
      <alignment vertical="center"/>
    </xf>
    <xf numFmtId="0" fontId="20" fillId="0" borderId="16" xfId="0" applyFont="1" applyBorder="1" applyAlignment="1">
      <alignment vertical="center"/>
    </xf>
    <xf numFmtId="0" fontId="20" fillId="0" borderId="25" xfId="0" applyFont="1" applyBorder="1" applyAlignment="1">
      <alignment vertical="center"/>
    </xf>
    <xf numFmtId="0" fontId="20" fillId="11" borderId="25" xfId="0" applyFont="1" applyFill="1" applyBorder="1" applyAlignment="1">
      <alignment vertical="center"/>
    </xf>
    <xf numFmtId="0" fontId="27" fillId="0" borderId="40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vertical="center"/>
    </xf>
    <xf numFmtId="0" fontId="27" fillId="0" borderId="17" xfId="0" applyFont="1" applyBorder="1" applyAlignment="1">
      <alignment vertical="center"/>
    </xf>
    <xf numFmtId="174" fontId="20" fillId="0" borderId="17" xfId="0" applyNumberFormat="1" applyFont="1" applyBorder="1" applyAlignment="1">
      <alignment horizontal="center" vertical="center"/>
    </xf>
    <xf numFmtId="0" fontId="27" fillId="4" borderId="17" xfId="0" applyFont="1" applyFill="1" applyBorder="1" applyAlignment="1">
      <alignment horizontal="center" vertical="center"/>
    </xf>
    <xf numFmtId="171" fontId="27" fillId="0" borderId="17" xfId="0" applyNumberFormat="1" applyFont="1" applyBorder="1" applyAlignment="1">
      <alignment horizontal="center" vertical="center"/>
    </xf>
    <xf numFmtId="171" fontId="27" fillId="0" borderId="17" xfId="0" applyNumberFormat="1" applyFont="1" applyBorder="1" applyAlignment="1">
      <alignment horizontal="center" vertical="center" wrapText="1"/>
    </xf>
    <xf numFmtId="166" fontId="20" fillId="0" borderId="17" xfId="1" applyNumberFormat="1" applyFont="1" applyFill="1" applyBorder="1" applyAlignment="1">
      <alignment vertical="center"/>
    </xf>
    <xf numFmtId="0" fontId="20" fillId="0" borderId="17" xfId="0" applyFont="1" applyBorder="1" applyAlignment="1">
      <alignment horizontal="center" vertical="center"/>
    </xf>
    <xf numFmtId="165" fontId="20" fillId="0" borderId="17" xfId="1" applyNumberFormat="1" applyFont="1" applyFill="1" applyBorder="1" applyAlignment="1">
      <alignment vertical="center"/>
    </xf>
    <xf numFmtId="165" fontId="20" fillId="4" borderId="17" xfId="1" applyNumberFormat="1" applyFont="1" applyFill="1" applyBorder="1" applyAlignment="1">
      <alignment vertical="center"/>
    </xf>
    <xf numFmtId="0" fontId="20" fillId="4" borderId="17" xfId="0" applyFont="1" applyFill="1" applyBorder="1" applyAlignment="1">
      <alignment vertical="center"/>
    </xf>
    <xf numFmtId="175" fontId="27" fillId="4" borderId="17" xfId="0" applyNumberFormat="1" applyFont="1" applyFill="1" applyBorder="1" applyAlignment="1">
      <alignment horizontal="center" vertical="center"/>
    </xf>
    <xf numFmtId="172" fontId="20" fillId="4" borderId="17" xfId="0" applyNumberFormat="1" applyFont="1" applyFill="1" applyBorder="1" applyAlignment="1">
      <alignment vertical="center"/>
    </xf>
    <xf numFmtId="175" fontId="27" fillId="3" borderId="17" xfId="0" applyNumberFormat="1" applyFont="1" applyFill="1" applyBorder="1" applyAlignment="1">
      <alignment horizontal="center" vertical="center"/>
    </xf>
    <xf numFmtId="165" fontId="20" fillId="3" borderId="17" xfId="1" applyNumberFormat="1" applyFont="1" applyFill="1" applyBorder="1" applyAlignment="1">
      <alignment vertical="center"/>
    </xf>
    <xf numFmtId="166" fontId="27" fillId="4" borderId="17" xfId="0" applyNumberFormat="1" applyFont="1" applyFill="1" applyBorder="1" applyAlignment="1">
      <alignment horizontal="center" vertical="center"/>
    </xf>
    <xf numFmtId="173" fontId="20" fillId="4" borderId="17" xfId="0" applyNumberFormat="1" applyFont="1" applyFill="1" applyBorder="1" applyAlignment="1">
      <alignment vertical="center"/>
    </xf>
    <xf numFmtId="0" fontId="20" fillId="0" borderId="41" xfId="0" applyFont="1" applyBorder="1" applyAlignment="1">
      <alignment vertical="center"/>
    </xf>
    <xf numFmtId="0" fontId="20" fillId="0" borderId="18" xfId="0" applyFont="1" applyBorder="1" applyAlignment="1">
      <alignment vertical="center"/>
    </xf>
    <xf numFmtId="0" fontId="27" fillId="0" borderId="38" xfId="0" applyFont="1" applyBorder="1" applyAlignment="1">
      <alignment horizontal="center" vertical="center"/>
    </xf>
    <xf numFmtId="170" fontId="20" fillId="0" borderId="15" xfId="0" applyNumberFormat="1" applyFont="1" applyBorder="1" applyAlignment="1">
      <alignment vertical="center"/>
    </xf>
    <xf numFmtId="0" fontId="27" fillId="3" borderId="15" xfId="0" applyFont="1" applyFill="1" applyBorder="1" applyAlignment="1">
      <alignment horizontal="center" vertical="center"/>
    </xf>
    <xf numFmtId="164" fontId="18" fillId="4" borderId="16" xfId="0" applyNumberFormat="1" applyFont="1" applyFill="1" applyBorder="1" applyAlignment="1">
      <alignment horizontal="right" vertical="center"/>
    </xf>
    <xf numFmtId="164" fontId="18" fillId="3" borderId="25" xfId="0" applyNumberFormat="1" applyFont="1" applyFill="1" applyBorder="1" applyAlignment="1">
      <alignment horizontal="right" vertical="center"/>
    </xf>
    <xf numFmtId="164" fontId="18" fillId="2" borderId="25" xfId="0" applyNumberFormat="1" applyFont="1" applyFill="1" applyBorder="1" applyAlignment="1">
      <alignment horizontal="right" vertical="center"/>
    </xf>
    <xf numFmtId="164" fontId="18" fillId="0" borderId="18" xfId="0" applyNumberFormat="1" applyFont="1" applyBorder="1" applyAlignment="1">
      <alignment horizontal="right" vertical="center"/>
    </xf>
    <xf numFmtId="175" fontId="27" fillId="0" borderId="7" xfId="0" applyNumberFormat="1" applyFont="1" applyBorder="1" applyAlignment="1">
      <alignment horizontal="center" vertical="center"/>
    </xf>
    <xf numFmtId="166" fontId="27" fillId="0" borderId="1" xfId="0" applyNumberFormat="1" applyFont="1" applyBorder="1" applyAlignment="1">
      <alignment horizontal="center" vertical="center"/>
    </xf>
    <xf numFmtId="172" fontId="20" fillId="0" borderId="1" xfId="0" applyNumberFormat="1" applyFont="1" applyBorder="1" applyAlignment="1">
      <alignment horizontal="center" vertical="center"/>
    </xf>
    <xf numFmtId="0" fontId="20" fillId="2" borderId="1" xfId="0" applyFont="1" applyFill="1" applyBorder="1" applyAlignment="1">
      <alignment vertical="center"/>
    </xf>
    <xf numFmtId="166" fontId="27" fillId="0" borderId="1" xfId="1" applyNumberFormat="1" applyFont="1" applyFill="1" applyBorder="1" applyAlignment="1">
      <alignment horizontal="center" vertical="center"/>
    </xf>
    <xf numFmtId="166" fontId="20" fillId="2" borderId="1" xfId="0" applyNumberFormat="1" applyFont="1" applyFill="1" applyBorder="1" applyAlignment="1">
      <alignment vertical="center"/>
    </xf>
    <xf numFmtId="172" fontId="20" fillId="4" borderId="1" xfId="0" applyNumberFormat="1" applyFont="1" applyFill="1" applyBorder="1" applyAlignment="1">
      <alignment horizontal="center" vertical="center"/>
    </xf>
    <xf numFmtId="175" fontId="27" fillId="0" borderId="1" xfId="0" applyNumberFormat="1" applyFont="1" applyBorder="1" applyAlignment="1">
      <alignment horizontal="center" vertical="center"/>
    </xf>
    <xf numFmtId="165" fontId="20" fillId="0" borderId="1" xfId="0" applyNumberFormat="1" applyFont="1" applyBorder="1" applyAlignment="1">
      <alignment vertical="center"/>
    </xf>
    <xf numFmtId="173" fontId="20" fillId="0" borderId="1" xfId="0" applyNumberFormat="1" applyFont="1" applyBorder="1" applyAlignment="1">
      <alignment vertical="center"/>
    </xf>
    <xf numFmtId="166" fontId="20" fillId="2" borderId="1" xfId="1" applyNumberFormat="1" applyFont="1" applyFill="1" applyBorder="1" applyAlignment="1">
      <alignment horizontal="center" vertical="center"/>
    </xf>
    <xf numFmtId="164" fontId="20" fillId="2" borderId="1" xfId="0" applyNumberFormat="1" applyFont="1" applyFill="1" applyBorder="1" applyAlignment="1">
      <alignment vertical="center"/>
    </xf>
    <xf numFmtId="0" fontId="4" fillId="0" borderId="1" xfId="0" applyFont="1" applyBorder="1"/>
    <xf numFmtId="43" fontId="27" fillId="0" borderId="1" xfId="0" applyNumberFormat="1" applyFont="1" applyBorder="1" applyAlignment="1">
      <alignment horizontal="center" vertical="center"/>
    </xf>
    <xf numFmtId="164" fontId="20" fillId="2" borderId="1" xfId="0" applyNumberFormat="1" applyFont="1" applyFill="1" applyBorder="1" applyAlignment="1">
      <alignment horizontal="center" vertical="center"/>
    </xf>
    <xf numFmtId="164" fontId="20" fillId="0" borderId="1" xfId="0" applyNumberFormat="1" applyFont="1" applyBorder="1" applyAlignment="1">
      <alignment horizontal="center" vertical="center"/>
    </xf>
    <xf numFmtId="177" fontId="20" fillId="0" borderId="1" xfId="0" applyNumberFormat="1" applyFont="1" applyBorder="1" applyAlignment="1">
      <alignment horizontal="center" vertical="center"/>
    </xf>
    <xf numFmtId="43" fontId="20" fillId="0" borderId="1" xfId="1" applyFont="1" applyFill="1" applyBorder="1" applyAlignment="1">
      <alignment vertical="center"/>
    </xf>
    <xf numFmtId="164" fontId="20" fillId="0" borderId="1" xfId="0" applyNumberFormat="1" applyFont="1" applyBorder="1" applyAlignment="1">
      <alignment vertical="center"/>
    </xf>
    <xf numFmtId="164" fontId="20" fillId="4" borderId="1" xfId="0" applyNumberFormat="1" applyFont="1" applyFill="1" applyBorder="1" applyAlignment="1">
      <alignment horizontal="center" vertical="center"/>
    </xf>
    <xf numFmtId="166" fontId="27" fillId="4" borderId="1" xfId="1" applyNumberFormat="1" applyFont="1" applyFill="1" applyBorder="1" applyAlignment="1">
      <alignment horizontal="center" vertical="center"/>
    </xf>
    <xf numFmtId="177" fontId="20" fillId="0" borderId="1" xfId="0" applyNumberFormat="1" applyFont="1" applyBorder="1" applyAlignment="1">
      <alignment vertical="center"/>
    </xf>
    <xf numFmtId="43" fontId="20" fillId="2" borderId="1" xfId="1" applyFont="1" applyFill="1" applyBorder="1" applyAlignment="1">
      <alignment vertical="center"/>
    </xf>
    <xf numFmtId="168" fontId="27" fillId="2" borderId="1" xfId="1" applyNumberFormat="1" applyFont="1" applyFill="1" applyBorder="1" applyAlignment="1">
      <alignment horizontal="center" vertical="center"/>
    </xf>
    <xf numFmtId="176" fontId="20" fillId="0" borderId="1" xfId="1" applyNumberFormat="1" applyFont="1" applyFill="1" applyBorder="1" applyAlignment="1">
      <alignment vertical="center"/>
    </xf>
    <xf numFmtId="178" fontId="27" fillId="0" borderId="1" xfId="0" applyNumberFormat="1" applyFont="1" applyBorder="1" applyAlignment="1">
      <alignment horizontal="center" vertical="center"/>
    </xf>
    <xf numFmtId="168" fontId="20" fillId="0" borderId="1" xfId="1" applyNumberFormat="1" applyFont="1" applyFill="1" applyBorder="1" applyAlignment="1">
      <alignment vertical="center"/>
    </xf>
    <xf numFmtId="2" fontId="20" fillId="2" borderId="1" xfId="0" applyNumberFormat="1" applyFont="1" applyFill="1" applyBorder="1" applyAlignment="1">
      <alignment vertical="center"/>
    </xf>
    <xf numFmtId="43" fontId="20" fillId="4" borderId="1" xfId="1" applyFont="1" applyFill="1" applyBorder="1" applyAlignment="1">
      <alignment vertical="center"/>
    </xf>
    <xf numFmtId="43" fontId="20" fillId="4" borderId="1" xfId="0" applyNumberFormat="1" applyFont="1" applyFill="1" applyBorder="1" applyAlignment="1">
      <alignment vertical="center"/>
    </xf>
    <xf numFmtId="43" fontId="27" fillId="0" borderId="1" xfId="1" applyFont="1" applyFill="1" applyBorder="1" applyAlignment="1">
      <alignment horizontal="center" vertical="center"/>
    </xf>
    <xf numFmtId="164" fontId="20" fillId="0" borderId="24" xfId="0" applyNumberFormat="1" applyFont="1" applyBorder="1" applyAlignment="1">
      <alignment vertical="center"/>
    </xf>
    <xf numFmtId="164" fontId="20" fillId="0" borderId="25" xfId="0" applyNumberFormat="1" applyFont="1" applyBorder="1" applyAlignment="1">
      <alignment vertical="center"/>
    </xf>
    <xf numFmtId="43" fontId="20" fillId="2" borderId="1" xfId="0" applyNumberFormat="1" applyFont="1" applyFill="1" applyBorder="1" applyAlignment="1">
      <alignment vertical="center"/>
    </xf>
    <xf numFmtId="2" fontId="20" fillId="4" borderId="1" xfId="0" applyNumberFormat="1" applyFont="1" applyFill="1" applyBorder="1" applyAlignment="1">
      <alignment vertical="center"/>
    </xf>
    <xf numFmtId="175" fontId="27" fillId="0" borderId="15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6" fontId="4" fillId="0" borderId="0" xfId="1" applyNumberFormat="1" applyFont="1" applyFill="1" applyBorder="1" applyAlignment="1">
      <alignment vertical="center"/>
    </xf>
    <xf numFmtId="4" fontId="4" fillId="0" borderId="0" xfId="0" applyNumberFormat="1" applyFont="1" applyAlignment="1">
      <alignment vertical="center"/>
    </xf>
    <xf numFmtId="167" fontId="4" fillId="0" borderId="0" xfId="0" applyNumberFormat="1" applyFont="1" applyAlignment="1">
      <alignment vertical="center"/>
    </xf>
    <xf numFmtId="165" fontId="4" fillId="0" borderId="0" xfId="1" applyNumberFormat="1" applyFont="1" applyFill="1" applyBorder="1" applyAlignment="1">
      <alignment vertical="center"/>
    </xf>
    <xf numFmtId="168" fontId="0" fillId="0" borderId="0" xfId="1" applyNumberFormat="1" applyFont="1" applyFill="1" applyBorder="1" applyAlignment="1">
      <alignment horizontal="center"/>
    </xf>
    <xf numFmtId="166" fontId="4" fillId="0" borderId="0" xfId="1" applyNumberFormat="1" applyFont="1" applyFill="1" applyBorder="1"/>
    <xf numFmtId="168" fontId="8" fillId="0" borderId="0" xfId="0" applyNumberFormat="1" applyFont="1" applyAlignment="1">
      <alignment horizontal="center" vertical="center"/>
    </xf>
    <xf numFmtId="168" fontId="4" fillId="0" borderId="0" xfId="0" applyNumberFormat="1" applyFont="1" applyAlignment="1">
      <alignment vertical="center"/>
    </xf>
    <xf numFmtId="0" fontId="0" fillId="0" borderId="0" xfId="0" applyAlignment="1">
      <alignment horizontal="center" vertical="center"/>
    </xf>
    <xf numFmtId="168" fontId="0" fillId="0" borderId="0" xfId="1" applyNumberFormat="1" applyFont="1" applyFill="1" applyBorder="1" applyAlignment="1">
      <alignment horizontal="center" vertical="center"/>
    </xf>
    <xf numFmtId="3" fontId="4" fillId="0" borderId="0" xfId="0" applyNumberFormat="1" applyFont="1" applyAlignment="1">
      <alignment vertical="center"/>
    </xf>
    <xf numFmtId="169" fontId="8" fillId="0" borderId="0" xfId="0" applyNumberFormat="1" applyFont="1" applyAlignment="1">
      <alignment horizontal="center" vertical="center" wrapText="1"/>
    </xf>
    <xf numFmtId="1" fontId="4" fillId="0" borderId="0" xfId="1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43" fontId="4" fillId="0" borderId="0" xfId="0" applyNumberFormat="1" applyFont="1" applyAlignment="1">
      <alignment vertical="center"/>
    </xf>
    <xf numFmtId="166" fontId="3" fillId="0" borderId="0" xfId="1" applyNumberFormat="1" applyFont="1" applyFill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43" fontId="3" fillId="0" borderId="0" xfId="1" applyFont="1" applyFill="1" applyBorder="1" applyAlignment="1">
      <alignment vertical="center"/>
    </xf>
    <xf numFmtId="165" fontId="3" fillId="0" borderId="0" xfId="1" applyNumberFormat="1" applyFont="1" applyFill="1" applyBorder="1" applyAlignment="1">
      <alignment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/>
    </xf>
    <xf numFmtId="0" fontId="25" fillId="0" borderId="1" xfId="0" applyFont="1" applyBorder="1" applyAlignment="1">
      <alignment vertical="top" wrapText="1"/>
    </xf>
    <xf numFmtId="0" fontId="16" fillId="0" borderId="0" xfId="0" applyFont="1" applyAlignment="1">
      <alignment vertical="center"/>
    </xf>
    <xf numFmtId="0" fontId="25" fillId="0" borderId="1" xfId="0" applyFont="1" applyBorder="1" applyAlignment="1">
      <alignment vertical="center" wrapText="1"/>
    </xf>
    <xf numFmtId="0" fontId="25" fillId="0" borderId="1" xfId="0" applyFont="1" applyBorder="1" applyAlignment="1">
      <alignment horizontal="center"/>
    </xf>
    <xf numFmtId="0" fontId="16" fillId="0" borderId="1" xfId="0" applyFont="1" applyBorder="1" applyAlignment="1">
      <alignment vertical="center"/>
    </xf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 vertical="center" wrapText="1"/>
    </xf>
    <xf numFmtId="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25" fillId="0" borderId="1" xfId="0" applyFont="1" applyBorder="1" applyAlignment="1">
      <alignment wrapText="1"/>
    </xf>
    <xf numFmtId="0" fontId="25" fillId="0" borderId="1" xfId="0" applyFont="1" applyBorder="1" applyAlignment="1">
      <alignment horizontal="left" wrapText="1"/>
    </xf>
    <xf numFmtId="0" fontId="0" fillId="9" borderId="1" xfId="0" applyFill="1" applyBorder="1" applyAlignment="1">
      <alignment horizontal="center" wrapText="1"/>
    </xf>
    <xf numFmtId="0" fontId="4" fillId="9" borderId="1" xfId="0" applyFont="1" applyFill="1" applyBorder="1" applyAlignment="1">
      <alignment vertical="center"/>
    </xf>
    <xf numFmtId="0" fontId="25" fillId="0" borderId="7" xfId="0" applyFont="1" applyBorder="1" applyAlignment="1">
      <alignment horizontal="center"/>
    </xf>
    <xf numFmtId="0" fontId="16" fillId="0" borderId="7" xfId="0" applyFont="1" applyBorder="1" applyAlignment="1">
      <alignment vertical="center"/>
    </xf>
    <xf numFmtId="0" fontId="25" fillId="0" borderId="7" xfId="0" applyFont="1" applyBorder="1"/>
    <xf numFmtId="170" fontId="16" fillId="0" borderId="7" xfId="0" applyNumberFormat="1" applyFont="1" applyBorder="1" applyAlignment="1">
      <alignment horizontal="center" vertical="center"/>
    </xf>
    <xf numFmtId="0" fontId="13" fillId="0" borderId="42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 wrapText="1"/>
    </xf>
    <xf numFmtId="0" fontId="21" fillId="0" borderId="4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 wrapText="1"/>
    </xf>
    <xf numFmtId="0" fontId="21" fillId="0" borderId="45" xfId="0" applyFont="1" applyBorder="1" applyAlignment="1">
      <alignment horizontal="center" vertical="center" wrapText="1"/>
    </xf>
    <xf numFmtId="170" fontId="32" fillId="0" borderId="1" xfId="0" applyNumberFormat="1" applyFont="1" applyBorder="1" applyAlignment="1">
      <alignment horizontal="center" vertical="center"/>
    </xf>
    <xf numFmtId="0" fontId="32" fillId="9" borderId="1" xfId="0" applyFont="1" applyFill="1" applyBorder="1" applyAlignment="1">
      <alignment horizontal="right" vertical="center"/>
    </xf>
    <xf numFmtId="170" fontId="32" fillId="9" borderId="1" xfId="0" applyNumberFormat="1" applyFont="1" applyFill="1" applyBorder="1" applyAlignment="1">
      <alignment horizontal="center" vertical="center"/>
    </xf>
    <xf numFmtId="0" fontId="25" fillId="9" borderId="1" xfId="0" applyFont="1" applyFill="1" applyBorder="1" applyAlignment="1">
      <alignment horizontal="center"/>
    </xf>
    <xf numFmtId="0" fontId="25" fillId="9" borderId="1" xfId="0" applyFont="1" applyFill="1" applyBorder="1" applyAlignment="1">
      <alignment horizontal="center" wrapText="1"/>
    </xf>
    <xf numFmtId="0" fontId="16" fillId="9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6" fontId="3" fillId="2" borderId="1" xfId="1" applyNumberFormat="1" applyFont="1" applyFill="1" applyBorder="1" applyAlignment="1">
      <alignment vertical="center"/>
    </xf>
    <xf numFmtId="166" fontId="3" fillId="3" borderId="1" xfId="1" applyNumberFormat="1" applyFont="1" applyFill="1" applyBorder="1" applyAlignment="1">
      <alignment vertical="center"/>
    </xf>
    <xf numFmtId="166" fontId="20" fillId="0" borderId="1" xfId="0" applyNumberFormat="1" applyFont="1" applyBorder="1" applyAlignment="1">
      <alignment vertical="center"/>
    </xf>
    <xf numFmtId="175" fontId="20" fillId="0" borderId="1" xfId="0" applyNumberFormat="1" applyFont="1" applyBorder="1" applyAlignment="1">
      <alignment vertical="center"/>
    </xf>
    <xf numFmtId="10" fontId="20" fillId="0" borderId="0" xfId="2" applyNumberFormat="1" applyFont="1"/>
    <xf numFmtId="0" fontId="38" fillId="4" borderId="6" xfId="0" applyFont="1" applyFill="1" applyBorder="1" applyAlignment="1">
      <alignment horizontal="left"/>
    </xf>
    <xf numFmtId="0" fontId="38" fillId="3" borderId="12" xfId="0" applyFont="1" applyFill="1" applyBorder="1" applyAlignment="1">
      <alignment horizontal="left"/>
    </xf>
    <xf numFmtId="0" fontId="38" fillId="2" borderId="12" xfId="0" applyFont="1" applyFill="1" applyBorder="1" applyAlignment="1">
      <alignment horizontal="left"/>
    </xf>
    <xf numFmtId="0" fontId="38" fillId="0" borderId="36" xfId="0" applyFont="1" applyBorder="1" applyAlignment="1">
      <alignment horizontal="center"/>
    </xf>
    <xf numFmtId="0" fontId="41" fillId="0" borderId="38" xfId="0" applyFont="1" applyBorder="1" applyAlignment="1">
      <alignment horizontal="center" vertical="center"/>
    </xf>
    <xf numFmtId="0" fontId="41" fillId="0" borderId="15" xfId="0" applyFont="1" applyBorder="1" applyAlignment="1">
      <alignment horizontal="center" vertical="center"/>
    </xf>
    <xf numFmtId="0" fontId="41" fillId="0" borderId="15" xfId="0" applyFont="1" applyBorder="1" applyAlignment="1">
      <alignment vertical="center"/>
    </xf>
    <xf numFmtId="170" fontId="41" fillId="0" borderId="15" xfId="0" applyNumberFormat="1" applyFont="1" applyBorder="1" applyAlignment="1">
      <alignment vertical="center"/>
    </xf>
    <xf numFmtId="4" fontId="41" fillId="0" borderId="15" xfId="0" applyNumberFormat="1" applyFont="1" applyBorder="1" applyAlignment="1">
      <alignment vertical="center"/>
    </xf>
    <xf numFmtId="0" fontId="41" fillId="3" borderId="15" xfId="0" applyFont="1" applyFill="1" applyBorder="1" applyAlignment="1">
      <alignment horizontal="center" vertical="center"/>
    </xf>
    <xf numFmtId="167" fontId="41" fillId="0" borderId="15" xfId="0" applyNumberFormat="1" applyFont="1" applyBorder="1" applyAlignment="1">
      <alignment vertical="center"/>
    </xf>
    <xf numFmtId="171" fontId="41" fillId="0" borderId="16" xfId="0" applyNumberFormat="1" applyFont="1" applyBorder="1" applyAlignment="1">
      <alignment horizontal="center" vertical="center"/>
    </xf>
    <xf numFmtId="165" fontId="41" fillId="0" borderId="48" xfId="1" applyNumberFormat="1" applyFont="1" applyFill="1" applyBorder="1" applyAlignment="1">
      <alignment vertical="center"/>
    </xf>
    <xf numFmtId="166" fontId="41" fillId="0" borderId="15" xfId="1" applyNumberFormat="1" applyFont="1" applyFill="1" applyBorder="1" applyAlignment="1">
      <alignment vertical="center"/>
    </xf>
    <xf numFmtId="166" fontId="41" fillId="0" borderId="15" xfId="1" applyNumberFormat="1" applyFont="1" applyBorder="1" applyAlignment="1">
      <alignment vertical="center"/>
    </xf>
    <xf numFmtId="175" fontId="41" fillId="4" borderId="15" xfId="0" applyNumberFormat="1" applyFont="1" applyFill="1" applyBorder="1" applyAlignment="1">
      <alignment horizontal="center" vertical="center"/>
    </xf>
    <xf numFmtId="175" fontId="41" fillId="4" borderId="16" xfId="0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vertical="center"/>
    </xf>
    <xf numFmtId="4" fontId="41" fillId="0" borderId="1" xfId="0" applyNumberFormat="1" applyFont="1" applyBorder="1" applyAlignment="1">
      <alignment vertical="center"/>
    </xf>
    <xf numFmtId="0" fontId="41" fillId="0" borderId="1" xfId="0" applyFont="1" applyBorder="1" applyAlignment="1">
      <alignment horizontal="center" vertical="center"/>
    </xf>
    <xf numFmtId="0" fontId="41" fillId="3" borderId="1" xfId="0" applyFont="1" applyFill="1" applyBorder="1" applyAlignment="1">
      <alignment horizontal="center" vertical="center"/>
    </xf>
    <xf numFmtId="167" fontId="41" fillId="0" borderId="1" xfId="0" applyNumberFormat="1" applyFont="1" applyBorder="1" applyAlignment="1">
      <alignment vertical="center"/>
    </xf>
    <xf numFmtId="171" fontId="41" fillId="0" borderId="25" xfId="0" applyNumberFormat="1" applyFont="1" applyBorder="1" applyAlignment="1">
      <alignment horizontal="center" vertical="center"/>
    </xf>
    <xf numFmtId="165" fontId="41" fillId="0" borderId="49" xfId="1" applyNumberFormat="1" applyFont="1" applyFill="1" applyBorder="1" applyAlignment="1">
      <alignment vertical="center"/>
    </xf>
    <xf numFmtId="166" fontId="41" fillId="0" borderId="1" xfId="1" applyNumberFormat="1" applyFont="1" applyFill="1" applyBorder="1" applyAlignment="1">
      <alignment vertical="center"/>
    </xf>
    <xf numFmtId="166" fontId="41" fillId="0" borderId="7" xfId="1" applyNumberFormat="1" applyFont="1" applyBorder="1" applyAlignment="1">
      <alignment vertical="center"/>
    </xf>
    <xf numFmtId="175" fontId="41" fillId="4" borderId="7" xfId="0" applyNumberFormat="1" applyFont="1" applyFill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2" borderId="1" xfId="0" applyFont="1" applyFill="1" applyBorder="1" applyAlignment="1">
      <alignment horizontal="center" vertical="center"/>
    </xf>
    <xf numFmtId="175" fontId="41" fillId="0" borderId="7" xfId="0" applyNumberFormat="1" applyFont="1" applyBorder="1" applyAlignment="1">
      <alignment horizontal="center" vertical="center"/>
    </xf>
    <xf numFmtId="175" fontId="41" fillId="4" borderId="53" xfId="0" applyNumberFormat="1" applyFont="1" applyFill="1" applyBorder="1" applyAlignment="1">
      <alignment horizontal="center" vertical="center"/>
    </xf>
    <xf numFmtId="174" fontId="41" fillId="0" borderId="1" xfId="0" applyNumberFormat="1" applyFont="1" applyBorder="1" applyAlignment="1">
      <alignment horizontal="center" vertical="center"/>
    </xf>
    <xf numFmtId="43" fontId="41" fillId="0" borderId="1" xfId="1" applyFont="1" applyBorder="1" applyAlignment="1">
      <alignment vertical="center"/>
    </xf>
    <xf numFmtId="0" fontId="41" fillId="0" borderId="1" xfId="0" applyFont="1" applyBorder="1" applyAlignment="1">
      <alignment horizontal="left" vertical="center" wrapText="1"/>
    </xf>
    <xf numFmtId="0" fontId="41" fillId="0" borderId="1" xfId="0" applyFont="1" applyBorder="1" applyAlignment="1">
      <alignment horizontal="left" vertical="center"/>
    </xf>
    <xf numFmtId="0" fontId="41" fillId="0" borderId="1" xfId="0" applyFont="1" applyBorder="1" applyAlignment="1">
      <alignment vertical="center" wrapText="1"/>
    </xf>
    <xf numFmtId="0" fontId="41" fillId="4" borderId="7" xfId="0" applyFont="1" applyFill="1" applyBorder="1" applyAlignment="1">
      <alignment horizontal="center" vertical="center"/>
    </xf>
    <xf numFmtId="0" fontId="41" fillId="0" borderId="7" xfId="0" applyFont="1" applyBorder="1" applyAlignment="1">
      <alignment horizontal="center" vertical="center"/>
    </xf>
    <xf numFmtId="165" fontId="41" fillId="0" borderId="1" xfId="1" applyNumberFormat="1" applyFont="1" applyFill="1" applyBorder="1" applyAlignment="1">
      <alignment vertical="center"/>
    </xf>
    <xf numFmtId="0" fontId="41" fillId="7" borderId="14" xfId="0" applyFont="1" applyFill="1" applyBorder="1" applyAlignment="1">
      <alignment horizontal="center" vertical="center"/>
    </xf>
    <xf numFmtId="0" fontId="41" fillId="7" borderId="1" xfId="0" applyFont="1" applyFill="1" applyBorder="1" applyAlignment="1">
      <alignment horizontal="center" vertical="center" wrapText="1"/>
    </xf>
    <xf numFmtId="0" fontId="41" fillId="7" borderId="1" xfId="0" applyFont="1" applyFill="1" applyBorder="1" applyAlignment="1">
      <alignment vertical="center"/>
    </xf>
    <xf numFmtId="165" fontId="41" fillId="7" borderId="1" xfId="1" applyNumberFormat="1" applyFont="1" applyFill="1" applyBorder="1" applyAlignment="1">
      <alignment vertical="center"/>
    </xf>
    <xf numFmtId="0" fontId="41" fillId="7" borderId="1" xfId="0" applyFont="1" applyFill="1" applyBorder="1" applyAlignment="1">
      <alignment horizontal="center" vertical="center"/>
    </xf>
    <xf numFmtId="0" fontId="41" fillId="11" borderId="1" xfId="0" applyFont="1" applyFill="1" applyBorder="1" applyAlignment="1">
      <alignment vertical="center"/>
    </xf>
    <xf numFmtId="171" fontId="41" fillId="7" borderId="25" xfId="0" applyNumberFormat="1" applyFont="1" applyFill="1" applyBorder="1" applyAlignment="1">
      <alignment horizontal="center" vertical="center"/>
    </xf>
    <xf numFmtId="165" fontId="41" fillId="11" borderId="49" xfId="1" applyNumberFormat="1" applyFont="1" applyFill="1" applyBorder="1" applyAlignment="1">
      <alignment vertical="center"/>
    </xf>
    <xf numFmtId="166" fontId="41" fillId="11" borderId="1" xfId="1" applyNumberFormat="1" applyFont="1" applyFill="1" applyBorder="1" applyAlignment="1">
      <alignment vertical="center"/>
    </xf>
    <xf numFmtId="166" fontId="41" fillId="7" borderId="1" xfId="1" applyNumberFormat="1" applyFont="1" applyFill="1" applyBorder="1" applyAlignment="1">
      <alignment vertical="center"/>
    </xf>
    <xf numFmtId="165" fontId="41" fillId="7" borderId="25" xfId="1" applyNumberFormat="1" applyFont="1" applyFill="1" applyBorder="1" applyAlignment="1">
      <alignment vertical="center"/>
    </xf>
    <xf numFmtId="174" fontId="41" fillId="0" borderId="6" xfId="0" applyNumberFormat="1" applyFont="1" applyBorder="1" applyAlignment="1">
      <alignment horizontal="center" vertical="center"/>
    </xf>
    <xf numFmtId="2" fontId="41" fillId="0" borderId="1" xfId="0" applyNumberFormat="1" applyFont="1" applyBorder="1" applyAlignment="1">
      <alignment horizontal="center" vertical="center"/>
    </xf>
    <xf numFmtId="0" fontId="41" fillId="4" borderId="1" xfId="0" applyFont="1" applyFill="1" applyBorder="1" applyAlignment="1">
      <alignment horizontal="center" vertical="center"/>
    </xf>
    <xf numFmtId="171" fontId="41" fillId="2" borderId="49" xfId="0" applyNumberFormat="1" applyFont="1" applyFill="1" applyBorder="1" applyAlignment="1">
      <alignment horizontal="center" vertical="center" wrapText="1"/>
    </xf>
    <xf numFmtId="166" fontId="41" fillId="2" borderId="1" xfId="1" applyNumberFormat="1" applyFont="1" applyFill="1" applyBorder="1" applyAlignment="1">
      <alignment vertical="center"/>
    </xf>
    <xf numFmtId="168" fontId="41" fillId="2" borderId="1" xfId="1" applyNumberFormat="1" applyFont="1" applyFill="1" applyBorder="1" applyAlignment="1">
      <alignment vertical="center"/>
    </xf>
    <xf numFmtId="166" fontId="41" fillId="2" borderId="1" xfId="0" applyNumberFormat="1" applyFont="1" applyFill="1" applyBorder="1" applyAlignment="1">
      <alignment horizontal="center" vertical="center"/>
    </xf>
    <xf numFmtId="2" fontId="41" fillId="0" borderId="25" xfId="0" applyNumberFormat="1" applyFont="1" applyBorder="1" applyAlignment="1">
      <alignment horizontal="center" vertical="center"/>
    </xf>
    <xf numFmtId="2" fontId="41" fillId="0" borderId="61" xfId="0" applyNumberFormat="1" applyFont="1" applyBorder="1" applyAlignment="1">
      <alignment horizontal="center" vertical="center"/>
    </xf>
    <xf numFmtId="171" fontId="41" fillId="0" borderId="49" xfId="0" applyNumberFormat="1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/>
    </xf>
    <xf numFmtId="0" fontId="41" fillId="0" borderId="6" xfId="0" applyFont="1" applyBorder="1" applyAlignment="1">
      <alignment vertical="center"/>
    </xf>
    <xf numFmtId="0" fontId="41" fillId="0" borderId="6" xfId="0" applyFont="1" applyBorder="1" applyAlignment="1">
      <alignment vertical="center" wrapText="1"/>
    </xf>
    <xf numFmtId="2" fontId="41" fillId="0" borderId="6" xfId="0" applyNumberFormat="1" applyFont="1" applyBorder="1" applyAlignment="1">
      <alignment horizontal="center" vertical="center"/>
    </xf>
    <xf numFmtId="0" fontId="41" fillId="6" borderId="6" xfId="0" applyFont="1" applyFill="1" applyBorder="1" applyAlignment="1">
      <alignment vertical="center"/>
    </xf>
    <xf numFmtId="0" fontId="41" fillId="0" borderId="6" xfId="0" applyFont="1" applyBorder="1" applyAlignment="1">
      <alignment horizontal="center" vertical="center"/>
    </xf>
    <xf numFmtId="171" fontId="41" fillId="0" borderId="2" xfId="0" applyNumberFormat="1" applyFont="1" applyBorder="1" applyAlignment="1">
      <alignment horizontal="center" vertical="center"/>
    </xf>
    <xf numFmtId="171" fontId="41" fillId="0" borderId="3" xfId="0" applyNumberFormat="1" applyFont="1" applyBorder="1" applyAlignment="1">
      <alignment horizontal="center" vertical="center" wrapText="1"/>
    </xf>
    <xf numFmtId="166" fontId="41" fillId="0" borderId="6" xfId="1" applyNumberFormat="1" applyFont="1" applyFill="1" applyBorder="1" applyAlignment="1">
      <alignment vertical="center"/>
    </xf>
    <xf numFmtId="2" fontId="36" fillId="10" borderId="1" xfId="0" applyNumberFormat="1" applyFont="1" applyFill="1" applyBorder="1" applyAlignment="1">
      <alignment horizontal="center" vertical="center"/>
    </xf>
    <xf numFmtId="0" fontId="42" fillId="10" borderId="1" xfId="0" applyFont="1" applyFill="1" applyBorder="1" applyAlignment="1">
      <alignment vertical="center"/>
    </xf>
    <xf numFmtId="0" fontId="38" fillId="12" borderId="15" xfId="0" applyFont="1" applyFill="1" applyBorder="1" applyAlignment="1">
      <alignment horizontal="center" vertical="center"/>
    </xf>
    <xf numFmtId="0" fontId="38" fillId="12" borderId="15" xfId="0" applyFont="1" applyFill="1" applyBorder="1" applyAlignment="1">
      <alignment vertical="center"/>
    </xf>
    <xf numFmtId="0" fontId="38" fillId="12" borderId="16" xfId="0" applyFont="1" applyFill="1" applyBorder="1" applyAlignment="1">
      <alignment vertical="center"/>
    </xf>
    <xf numFmtId="0" fontId="43" fillId="0" borderId="48" xfId="0" applyFont="1" applyBorder="1" applyAlignment="1">
      <alignment vertical="center"/>
    </xf>
    <xf numFmtId="0" fontId="43" fillId="0" borderId="15" xfId="0" applyFont="1" applyBorder="1" applyAlignment="1">
      <alignment vertical="center"/>
    </xf>
    <xf numFmtId="0" fontId="44" fillId="0" borderId="15" xfId="0" applyFont="1" applyBorder="1"/>
    <xf numFmtId="0" fontId="44" fillId="0" borderId="39" xfId="0" applyFont="1" applyBorder="1" applyAlignment="1">
      <alignment vertical="center"/>
    </xf>
    <xf numFmtId="0" fontId="36" fillId="13" borderId="1" xfId="0" applyFont="1" applyFill="1" applyBorder="1" applyAlignment="1">
      <alignment horizontal="center" vertical="center"/>
    </xf>
    <xf numFmtId="0" fontId="43" fillId="13" borderId="1" xfId="0" applyFont="1" applyFill="1" applyBorder="1" applyAlignment="1">
      <alignment vertical="center"/>
    </xf>
    <xf numFmtId="0" fontId="43" fillId="13" borderId="25" xfId="0" applyFont="1" applyFill="1" applyBorder="1" applyAlignment="1">
      <alignment vertical="center"/>
    </xf>
    <xf numFmtId="0" fontId="34" fillId="0" borderId="0" xfId="0" applyFont="1"/>
    <xf numFmtId="166" fontId="34" fillId="0" borderId="0" xfId="1" applyNumberFormat="1" applyFont="1" applyBorder="1"/>
    <xf numFmtId="0" fontId="36" fillId="9" borderId="1" xfId="0" applyFont="1" applyFill="1" applyBorder="1" applyAlignment="1">
      <alignment horizontal="center" vertical="center"/>
    </xf>
    <xf numFmtId="0" fontId="43" fillId="9" borderId="1" xfId="0" applyFont="1" applyFill="1" applyBorder="1" applyAlignment="1">
      <alignment vertical="center"/>
    </xf>
    <xf numFmtId="0" fontId="43" fillId="9" borderId="25" xfId="0" applyFont="1" applyFill="1" applyBorder="1" applyAlignment="1">
      <alignment vertical="center"/>
    </xf>
    <xf numFmtId="0" fontId="36" fillId="2" borderId="17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vertical="center"/>
    </xf>
    <xf numFmtId="0" fontId="43" fillId="2" borderId="18" xfId="0" applyFont="1" applyFill="1" applyBorder="1" applyAlignment="1">
      <alignment vertical="center"/>
    </xf>
    <xf numFmtId="2" fontId="36" fillId="2" borderId="17" xfId="0" applyNumberFormat="1" applyFont="1" applyFill="1" applyBorder="1" applyAlignment="1">
      <alignment horizontal="center" vertical="center"/>
    </xf>
    <xf numFmtId="2" fontId="36" fillId="2" borderId="18" xfId="0" applyNumberFormat="1" applyFont="1" applyFill="1" applyBorder="1" applyAlignment="1">
      <alignment horizontal="center" vertical="center"/>
    </xf>
    <xf numFmtId="0" fontId="35" fillId="2" borderId="23" xfId="0" applyFont="1" applyFill="1" applyBorder="1"/>
    <xf numFmtId="166" fontId="35" fillId="2" borderId="23" xfId="1" applyNumberFormat="1" applyFont="1" applyFill="1" applyBorder="1"/>
    <xf numFmtId="2" fontId="36" fillId="2" borderId="62" xfId="0" applyNumberFormat="1" applyFont="1" applyFill="1" applyBorder="1" applyAlignment="1">
      <alignment horizontal="center" vertical="center"/>
    </xf>
    <xf numFmtId="2" fontId="41" fillId="0" borderId="63" xfId="0" applyNumberFormat="1" applyFont="1" applyBorder="1" applyAlignment="1">
      <alignment horizontal="center" vertical="center"/>
    </xf>
    <xf numFmtId="168" fontId="41" fillId="0" borderId="39" xfId="0" applyNumberFormat="1" applyFont="1" applyBorder="1" applyAlignment="1">
      <alignment horizontal="center" vertical="center"/>
    </xf>
    <xf numFmtId="168" fontId="41" fillId="0" borderId="4" xfId="0" applyNumberFormat="1" applyFont="1" applyBorder="1" applyAlignment="1">
      <alignment horizontal="center" vertical="center"/>
    </xf>
    <xf numFmtId="0" fontId="41" fillId="0" borderId="24" xfId="0" applyFont="1" applyBorder="1" applyAlignment="1">
      <alignment vertical="center"/>
    </xf>
    <xf numFmtId="165" fontId="41" fillId="0" borderId="14" xfId="1" applyNumberFormat="1" applyFont="1" applyFill="1" applyBorder="1" applyAlignment="1">
      <alignment vertical="center"/>
    </xf>
    <xf numFmtId="0" fontId="41" fillId="7" borderId="24" xfId="0" applyFont="1" applyFill="1" applyBorder="1" applyAlignment="1">
      <alignment vertical="center"/>
    </xf>
    <xf numFmtId="165" fontId="41" fillId="7" borderId="14" xfId="1" applyNumberFormat="1" applyFont="1" applyFill="1" applyBorder="1" applyAlignment="1">
      <alignment vertical="center"/>
    </xf>
    <xf numFmtId="0" fontId="41" fillId="2" borderId="24" xfId="0" applyFont="1" applyFill="1" applyBorder="1" applyAlignment="1">
      <alignment horizontal="center" vertical="center"/>
    </xf>
    <xf numFmtId="2" fontId="41" fillId="0" borderId="14" xfId="1" applyNumberFormat="1" applyFont="1" applyFill="1" applyBorder="1" applyAlignment="1">
      <alignment horizontal="center" vertical="center"/>
    </xf>
    <xf numFmtId="0" fontId="41" fillId="0" borderId="24" xfId="0" applyFont="1" applyBorder="1" applyAlignment="1">
      <alignment horizontal="center" vertical="center"/>
    </xf>
    <xf numFmtId="0" fontId="41" fillId="0" borderId="2" xfId="0" applyFont="1" applyBorder="1" applyAlignment="1">
      <alignment horizontal="center" vertical="center"/>
    </xf>
    <xf numFmtId="2" fontId="41" fillId="0" borderId="47" xfId="1" applyNumberFormat="1" applyFont="1" applyFill="1" applyBorder="1" applyAlignment="1">
      <alignment horizontal="center" vertical="center"/>
    </xf>
    <xf numFmtId="2" fontId="36" fillId="2" borderId="40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166" fontId="34" fillId="0" borderId="0" xfId="1" applyNumberFormat="1" applyFont="1"/>
    <xf numFmtId="0" fontId="41" fillId="0" borderId="33" xfId="0" applyFont="1" applyBorder="1"/>
    <xf numFmtId="0" fontId="41" fillId="7" borderId="33" xfId="0" applyFont="1" applyFill="1" applyBorder="1"/>
    <xf numFmtId="0" fontId="34" fillId="0" borderId="0" xfId="0" applyFont="1" applyBorder="1"/>
    <xf numFmtId="0" fontId="13" fillId="0" borderId="0" xfId="0" applyFont="1" applyAlignment="1">
      <alignment horizontal="center" vertical="center"/>
    </xf>
    <xf numFmtId="0" fontId="3" fillId="5" borderId="1" xfId="0" applyFont="1" applyFill="1" applyBorder="1" applyAlignment="1">
      <alignment horizontal="center" textRotation="90"/>
    </xf>
    <xf numFmtId="0" fontId="3" fillId="0" borderId="1" xfId="0" applyFont="1" applyBorder="1" applyAlignment="1">
      <alignment horizontal="center" wrapText="1"/>
    </xf>
    <xf numFmtId="165" fontId="3" fillId="5" borderId="1" xfId="1" applyNumberFormat="1" applyFont="1" applyFill="1" applyBorder="1" applyAlignment="1">
      <alignment horizontal="center" textRotation="90"/>
    </xf>
    <xf numFmtId="0" fontId="4" fillId="0" borderId="1" xfId="0" applyFont="1" applyBorder="1" applyAlignment="1">
      <alignment horizontal="center"/>
    </xf>
    <xf numFmtId="166" fontId="4" fillId="0" borderId="1" xfId="1" applyNumberFormat="1" applyFont="1" applyBorder="1" applyAlignment="1">
      <alignment horizontal="center"/>
    </xf>
    <xf numFmtId="0" fontId="3" fillId="2" borderId="6" xfId="0" applyFont="1" applyFill="1" applyBorder="1" applyAlignment="1">
      <alignment horizontal="center" vertical="center" textRotation="90" wrapText="1"/>
    </xf>
    <xf numFmtId="0" fontId="3" fillId="2" borderId="12" xfId="0" applyFont="1" applyFill="1" applyBorder="1" applyAlignment="1">
      <alignment horizontal="center" vertical="center" textRotation="90" wrapText="1"/>
    </xf>
    <xf numFmtId="0" fontId="3" fillId="2" borderId="7" xfId="0" applyFont="1" applyFill="1" applyBorder="1" applyAlignment="1">
      <alignment horizontal="center" vertical="center" textRotation="90" wrapText="1"/>
    </xf>
    <xf numFmtId="165" fontId="3" fillId="2" borderId="1" xfId="1" applyNumberFormat="1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45"/>
    </xf>
    <xf numFmtId="0" fontId="3" fillId="6" borderId="1" xfId="0" applyFont="1" applyFill="1" applyBorder="1" applyAlignment="1">
      <alignment horizontal="center" vertical="center" textRotation="45" wrapText="1"/>
    </xf>
    <xf numFmtId="0" fontId="3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165" fontId="3" fillId="0" borderId="6" xfId="1" applyNumberFormat="1" applyFont="1" applyBorder="1" applyAlignment="1">
      <alignment horizontal="center" vertical="center"/>
    </xf>
    <xf numFmtId="165" fontId="3" fillId="0" borderId="7" xfId="1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6" fillId="1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165" fontId="12" fillId="0" borderId="1" xfId="1" applyNumberFormat="1" applyFont="1" applyBorder="1" applyAlignment="1">
      <alignment horizontal="center" textRotation="90"/>
    </xf>
    <xf numFmtId="165" fontId="3" fillId="0" borderId="1" xfId="1" applyNumberFormat="1" applyFont="1" applyBorder="1" applyAlignment="1">
      <alignment horizontal="center" textRotation="90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10" fillId="8" borderId="8" xfId="0" applyFont="1" applyFill="1" applyBorder="1" applyAlignment="1">
      <alignment horizontal="center" vertical="center"/>
    </xf>
    <xf numFmtId="0" fontId="10" fillId="8" borderId="9" xfId="0" applyFont="1" applyFill="1" applyBorder="1" applyAlignment="1">
      <alignment horizontal="center" vertical="center"/>
    </xf>
    <xf numFmtId="0" fontId="10" fillId="8" borderId="4" xfId="0" applyFont="1" applyFill="1" applyBorder="1" applyAlignment="1">
      <alignment horizontal="center" vertical="center"/>
    </xf>
    <xf numFmtId="0" fontId="10" fillId="8" borderId="5" xfId="0" applyFont="1" applyFill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22" fillId="0" borderId="28" xfId="0" applyFont="1" applyBorder="1" applyAlignment="1">
      <alignment horizontal="center" vertical="center" wrapText="1"/>
    </xf>
    <xf numFmtId="0" fontId="22" fillId="0" borderId="32" xfId="0" applyFont="1" applyBorder="1" applyAlignment="1">
      <alignment horizontal="center" vertical="center" wrapText="1"/>
    </xf>
    <xf numFmtId="0" fontId="22" fillId="0" borderId="35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165" fontId="21" fillId="0" borderId="6" xfId="1" applyNumberFormat="1" applyFont="1" applyBorder="1" applyAlignment="1">
      <alignment horizontal="center" vertical="center"/>
    </xf>
    <xf numFmtId="165" fontId="21" fillId="0" borderId="36" xfId="1" applyNumberFormat="1" applyFont="1" applyBorder="1" applyAlignment="1">
      <alignment horizontal="center" vertical="center"/>
    </xf>
    <xf numFmtId="0" fontId="21" fillId="0" borderId="6" xfId="0" applyFont="1" applyBorder="1" applyAlignment="1">
      <alignment horizontal="center" vertical="center"/>
    </xf>
    <xf numFmtId="0" fontId="21" fillId="0" borderId="36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textRotation="45"/>
    </xf>
    <xf numFmtId="0" fontId="22" fillId="0" borderId="17" xfId="0" applyFont="1" applyBorder="1" applyAlignment="1">
      <alignment horizontal="center" vertical="center" textRotation="45"/>
    </xf>
    <xf numFmtId="0" fontId="13" fillId="0" borderId="15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textRotation="90" wrapText="1"/>
    </xf>
    <xf numFmtId="0" fontId="13" fillId="0" borderId="1" xfId="0" applyFont="1" applyBorder="1" applyAlignment="1">
      <alignment horizontal="center" vertical="center" textRotation="90" wrapText="1"/>
    </xf>
    <xf numFmtId="0" fontId="13" fillId="0" borderId="17" xfId="0" applyFont="1" applyBorder="1" applyAlignment="1">
      <alignment horizontal="center" vertical="center" textRotation="90" wrapText="1"/>
    </xf>
    <xf numFmtId="165" fontId="22" fillId="0" borderId="15" xfId="1" applyNumberFormat="1" applyFont="1" applyFill="1" applyBorder="1" applyAlignment="1">
      <alignment horizontal="center" vertical="center" textRotation="90"/>
    </xf>
    <xf numFmtId="165" fontId="22" fillId="0" borderId="1" xfId="1" applyNumberFormat="1" applyFont="1" applyFill="1" applyBorder="1" applyAlignment="1">
      <alignment horizontal="center" vertical="center" textRotation="90"/>
    </xf>
    <xf numFmtId="165" fontId="22" fillId="0" borderId="17" xfId="1" applyNumberFormat="1" applyFont="1" applyFill="1" applyBorder="1" applyAlignment="1">
      <alignment horizontal="center" vertical="center" textRotation="90"/>
    </xf>
    <xf numFmtId="165" fontId="13" fillId="0" borderId="15" xfId="1" applyNumberFormat="1" applyFont="1" applyFill="1" applyBorder="1" applyAlignment="1">
      <alignment horizontal="center" vertical="center" textRotation="90" wrapText="1"/>
    </xf>
    <xf numFmtId="165" fontId="13" fillId="0" borderId="1" xfId="1" applyNumberFormat="1" applyFont="1" applyFill="1" applyBorder="1" applyAlignment="1">
      <alignment horizontal="center" vertical="center" textRotation="90" wrapText="1"/>
    </xf>
    <xf numFmtId="165" fontId="13" fillId="0" borderId="17" xfId="1" applyNumberFormat="1" applyFont="1" applyFill="1" applyBorder="1" applyAlignment="1">
      <alignment horizontal="center" vertical="center" textRotation="90" wrapText="1"/>
    </xf>
    <xf numFmtId="0" fontId="13" fillId="6" borderId="1" xfId="0" applyFont="1" applyFill="1" applyBorder="1" applyAlignment="1">
      <alignment horizontal="center" vertical="center" textRotation="45" wrapText="1"/>
    </xf>
    <xf numFmtId="0" fontId="13" fillId="6" borderId="17" xfId="0" applyFont="1" applyFill="1" applyBorder="1" applyAlignment="1">
      <alignment horizontal="center" vertical="center" textRotation="45" wrapText="1"/>
    </xf>
    <xf numFmtId="0" fontId="13" fillId="0" borderId="29" xfId="0" applyFont="1" applyBorder="1" applyAlignment="1">
      <alignment horizontal="center" vertical="center" textRotation="90" wrapText="1"/>
    </xf>
    <xf numFmtId="0" fontId="13" fillId="0" borderId="12" xfId="0" applyFont="1" applyBorder="1" applyAlignment="1">
      <alignment horizontal="center" vertical="center" textRotation="90" wrapText="1"/>
    </xf>
    <xf numFmtId="0" fontId="13" fillId="0" borderId="36" xfId="0" applyFont="1" applyBorder="1" applyAlignment="1">
      <alignment horizontal="center" vertical="center" textRotation="90" wrapText="1"/>
    </xf>
    <xf numFmtId="165" fontId="13" fillId="0" borderId="29" xfId="1" applyNumberFormat="1" applyFont="1" applyFill="1" applyBorder="1" applyAlignment="1">
      <alignment horizontal="center" vertical="center" textRotation="90"/>
    </xf>
    <xf numFmtId="165" fontId="13" fillId="0" borderId="12" xfId="1" applyNumberFormat="1" applyFont="1" applyFill="1" applyBorder="1" applyAlignment="1">
      <alignment horizontal="center" vertical="center" textRotation="90"/>
    </xf>
    <xf numFmtId="165" fontId="13" fillId="0" borderId="36" xfId="1" applyNumberFormat="1" applyFont="1" applyFill="1" applyBorder="1" applyAlignment="1">
      <alignment horizontal="center" vertical="center" textRotation="90"/>
    </xf>
    <xf numFmtId="0" fontId="17" fillId="2" borderId="1" xfId="0" applyFont="1" applyFill="1" applyBorder="1" applyAlignment="1">
      <alignment horizontal="center" vertical="center"/>
    </xf>
    <xf numFmtId="0" fontId="17" fillId="2" borderId="25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4" fillId="8" borderId="8" xfId="0" applyFont="1" applyFill="1" applyBorder="1" applyAlignment="1">
      <alignment horizontal="center" vertical="center"/>
    </xf>
    <xf numFmtId="0" fontId="24" fillId="8" borderId="9" xfId="0" applyFont="1" applyFill="1" applyBorder="1" applyAlignment="1">
      <alignment horizontal="center" vertical="center"/>
    </xf>
    <xf numFmtId="0" fontId="24" fillId="8" borderId="4" xfId="0" applyFont="1" applyFill="1" applyBorder="1" applyAlignment="1">
      <alignment horizontal="center" vertical="center"/>
    </xf>
    <xf numFmtId="0" fontId="24" fillId="8" borderId="5" xfId="0" applyFont="1" applyFill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33" xfId="0" applyFont="1" applyBorder="1" applyAlignment="1">
      <alignment horizontal="center" vertical="center"/>
    </xf>
    <xf numFmtId="0" fontId="21" fillId="0" borderId="34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37" xfId="0" applyFont="1" applyBorder="1" applyAlignment="1">
      <alignment horizontal="center" vertical="center"/>
    </xf>
    <xf numFmtId="0" fontId="31" fillId="10" borderId="19" xfId="0" applyFont="1" applyFill="1" applyBorder="1" applyAlignment="1">
      <alignment horizontal="center" vertical="center"/>
    </xf>
    <xf numFmtId="0" fontId="31" fillId="10" borderId="20" xfId="0" applyFont="1" applyFill="1" applyBorder="1" applyAlignment="1">
      <alignment horizontal="center" vertical="center"/>
    </xf>
    <xf numFmtId="0" fontId="31" fillId="10" borderId="26" xfId="0" applyFont="1" applyFill="1" applyBorder="1" applyAlignment="1">
      <alignment horizontal="center" vertical="center"/>
    </xf>
    <xf numFmtId="0" fontId="31" fillId="10" borderId="21" xfId="0" applyFont="1" applyFill="1" applyBorder="1" applyAlignment="1">
      <alignment horizontal="center" vertical="center"/>
    </xf>
    <xf numFmtId="0" fontId="31" fillId="10" borderId="0" xfId="0" applyFont="1" applyFill="1" applyAlignment="1">
      <alignment horizontal="center" vertical="center"/>
    </xf>
    <xf numFmtId="0" fontId="31" fillId="10" borderId="9" xfId="0" applyFont="1" applyFill="1" applyBorder="1" applyAlignment="1">
      <alignment horizontal="center" vertical="center"/>
    </xf>
    <xf numFmtId="0" fontId="31" fillId="10" borderId="22" xfId="0" applyFont="1" applyFill="1" applyBorder="1" applyAlignment="1">
      <alignment horizontal="center" vertical="center"/>
    </xf>
    <xf numFmtId="0" fontId="31" fillId="10" borderId="23" xfId="0" applyFont="1" applyFill="1" applyBorder="1" applyAlignment="1">
      <alignment horizontal="center" vertical="center"/>
    </xf>
    <xf numFmtId="0" fontId="31" fillId="10" borderId="27" xfId="0" applyFont="1" applyFill="1" applyBorder="1" applyAlignment="1">
      <alignment horizontal="center" vertical="center"/>
    </xf>
    <xf numFmtId="0" fontId="13" fillId="0" borderId="15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23" fillId="0" borderId="30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23" fillId="0" borderId="31" xfId="0" applyFont="1" applyBorder="1" applyAlignment="1">
      <alignment horizontal="center" vertical="center"/>
    </xf>
    <xf numFmtId="0" fontId="21" fillId="4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166" fontId="13" fillId="0" borderId="1" xfId="1" applyNumberFormat="1" applyFont="1" applyBorder="1" applyAlignment="1">
      <alignment horizontal="center"/>
    </xf>
    <xf numFmtId="166" fontId="13" fillId="0" borderId="17" xfId="1" applyNumberFormat="1" applyFont="1" applyBorder="1" applyAlignment="1">
      <alignment horizontal="center"/>
    </xf>
    <xf numFmtId="0" fontId="21" fillId="0" borderId="25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2" fontId="36" fillId="0" borderId="51" xfId="1" applyNumberFormat="1" applyFont="1" applyFill="1" applyBorder="1" applyAlignment="1">
      <alignment horizontal="center" vertical="center"/>
    </xf>
    <xf numFmtId="2" fontId="36" fillId="0" borderId="52" xfId="1" applyNumberFormat="1" applyFont="1" applyFill="1" applyBorder="1" applyAlignment="1">
      <alignment horizontal="center" vertical="center"/>
    </xf>
    <xf numFmtId="2" fontId="36" fillId="0" borderId="53" xfId="1" applyNumberFormat="1" applyFont="1" applyFill="1" applyBorder="1" applyAlignment="1">
      <alignment horizontal="center" vertical="center"/>
    </xf>
    <xf numFmtId="0" fontId="42" fillId="10" borderId="19" xfId="0" applyFont="1" applyFill="1" applyBorder="1" applyAlignment="1">
      <alignment horizontal="center" vertical="center"/>
    </xf>
    <xf numFmtId="0" fontId="42" fillId="10" borderId="20" xfId="0" applyFont="1" applyFill="1" applyBorder="1" applyAlignment="1">
      <alignment horizontal="center" vertical="center"/>
    </xf>
    <xf numFmtId="0" fontId="42" fillId="10" borderId="0" xfId="0" applyFont="1" applyFill="1" applyBorder="1" applyAlignment="1">
      <alignment horizontal="center" vertical="center"/>
    </xf>
    <xf numFmtId="0" fontId="42" fillId="10" borderId="9" xfId="0" applyFont="1" applyFill="1" applyBorder="1" applyAlignment="1">
      <alignment horizontal="center" vertical="center"/>
    </xf>
    <xf numFmtId="0" fontId="42" fillId="10" borderId="21" xfId="0" applyFont="1" applyFill="1" applyBorder="1" applyAlignment="1">
      <alignment horizontal="center" vertical="center"/>
    </xf>
    <xf numFmtId="0" fontId="42" fillId="10" borderId="22" xfId="0" applyFont="1" applyFill="1" applyBorder="1" applyAlignment="1">
      <alignment horizontal="center" vertical="center"/>
    </xf>
    <xf numFmtId="0" fontId="42" fillId="10" borderId="23" xfId="0" applyFont="1" applyFill="1" applyBorder="1" applyAlignment="1">
      <alignment horizontal="center" vertical="center"/>
    </xf>
    <xf numFmtId="0" fontId="42" fillId="10" borderId="27" xfId="0" applyFont="1" applyFill="1" applyBorder="1" applyAlignment="1">
      <alignment horizontal="center" vertical="center"/>
    </xf>
    <xf numFmtId="166" fontId="38" fillId="0" borderId="1" xfId="1" applyNumberFormat="1" applyFont="1" applyBorder="1" applyAlignment="1">
      <alignment horizontal="center"/>
    </xf>
    <xf numFmtId="166" fontId="38" fillId="0" borderId="17" xfId="1" applyNumberFormat="1" applyFont="1" applyBorder="1" applyAlignment="1">
      <alignment horizontal="center"/>
    </xf>
    <xf numFmtId="0" fontId="40" fillId="8" borderId="21" xfId="0" applyFont="1" applyFill="1" applyBorder="1" applyAlignment="1">
      <alignment horizontal="center" vertical="center"/>
    </xf>
    <xf numFmtId="0" fontId="40" fillId="8" borderId="70" xfId="0" applyFont="1" applyFill="1" applyBorder="1" applyAlignment="1">
      <alignment horizontal="center" vertical="center"/>
    </xf>
    <xf numFmtId="0" fontId="40" fillId="8" borderId="8" xfId="0" applyFont="1" applyFill="1" applyBorder="1" applyAlignment="1">
      <alignment horizontal="center" vertical="center"/>
    </xf>
    <xf numFmtId="0" fontId="40" fillId="8" borderId="4" xfId="0" applyFont="1" applyFill="1" applyBorder="1" applyAlignment="1">
      <alignment horizontal="center" vertical="center"/>
    </xf>
    <xf numFmtId="0" fontId="40" fillId="8" borderId="52" xfId="0" applyFont="1" applyFill="1" applyBorder="1" applyAlignment="1">
      <alignment horizontal="center" vertical="center"/>
    </xf>
    <xf numFmtId="0" fontId="40" fillId="8" borderId="53" xfId="0" applyFont="1" applyFill="1" applyBorder="1" applyAlignment="1">
      <alignment horizontal="center" vertical="center"/>
    </xf>
    <xf numFmtId="0" fontId="36" fillId="0" borderId="47" xfId="0" applyFont="1" applyBorder="1" applyAlignment="1">
      <alignment horizontal="center" vertical="center"/>
    </xf>
    <xf numFmtId="0" fontId="36" fillId="0" borderId="3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36" xfId="0" applyFont="1" applyBorder="1" applyAlignment="1">
      <alignment horizontal="center" vertical="center"/>
    </xf>
    <xf numFmtId="0" fontId="36" fillId="0" borderId="46" xfId="0" applyFont="1" applyBorder="1" applyAlignment="1">
      <alignment horizontal="center" vertical="center"/>
    </xf>
    <xf numFmtId="0" fontId="36" fillId="0" borderId="45" xfId="0" applyFont="1" applyBorder="1" applyAlignment="1">
      <alignment horizontal="center" vertical="center"/>
    </xf>
    <xf numFmtId="0" fontId="42" fillId="10" borderId="55" xfId="0" applyFont="1" applyFill="1" applyBorder="1" applyAlignment="1">
      <alignment horizontal="center" vertical="center"/>
    </xf>
    <xf numFmtId="0" fontId="42" fillId="10" borderId="56" xfId="0" applyFont="1" applyFill="1" applyBorder="1" applyAlignment="1">
      <alignment horizontal="center" vertical="center"/>
    </xf>
    <xf numFmtId="0" fontId="42" fillId="10" borderId="60" xfId="0" applyFont="1" applyFill="1" applyBorder="1" applyAlignment="1">
      <alignment horizontal="center" vertical="center"/>
    </xf>
    <xf numFmtId="0" fontId="38" fillId="0" borderId="26" xfId="0" applyFon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0" fontId="38" fillId="0" borderId="7" xfId="0" applyFont="1" applyBorder="1" applyAlignment="1">
      <alignment horizontal="center" vertical="center"/>
    </xf>
    <xf numFmtId="2" fontId="36" fillId="0" borderId="28" xfId="1" applyNumberFormat="1" applyFont="1" applyFill="1" applyBorder="1" applyAlignment="1">
      <alignment horizontal="center" vertical="center"/>
    </xf>
    <xf numFmtId="2" fontId="36" fillId="0" borderId="32" xfId="1" applyNumberFormat="1" applyFont="1" applyFill="1" applyBorder="1" applyAlignment="1">
      <alignment horizontal="center" vertical="center"/>
    </xf>
    <xf numFmtId="2" fontId="36" fillId="0" borderId="13" xfId="1" applyNumberFormat="1" applyFont="1" applyFill="1" applyBorder="1" applyAlignment="1">
      <alignment horizontal="center" vertical="center"/>
    </xf>
    <xf numFmtId="2" fontId="36" fillId="0" borderId="29" xfId="1" applyNumberFormat="1" applyFont="1" applyFill="1" applyBorder="1" applyAlignment="1">
      <alignment horizontal="center" vertical="center"/>
    </xf>
    <xf numFmtId="2" fontId="36" fillId="0" borderId="12" xfId="1" applyNumberFormat="1" applyFont="1" applyFill="1" applyBorder="1" applyAlignment="1">
      <alignment horizontal="center" vertical="center"/>
    </xf>
    <xf numFmtId="2" fontId="36" fillId="0" borderId="7" xfId="1" applyNumberFormat="1" applyFont="1" applyFill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8" fillId="0" borderId="17" xfId="0" applyFont="1" applyBorder="1" applyAlignment="1">
      <alignment horizontal="center"/>
    </xf>
    <xf numFmtId="0" fontId="38" fillId="0" borderId="15" xfId="0" applyFont="1" applyBorder="1" applyAlignment="1">
      <alignment horizontal="center" vertical="center" textRotation="90" wrapText="1"/>
    </xf>
    <xf numFmtId="0" fontId="38" fillId="0" borderId="1" xfId="0" applyFont="1" applyBorder="1" applyAlignment="1">
      <alignment horizontal="center" vertical="center" textRotation="90" wrapText="1"/>
    </xf>
    <xf numFmtId="0" fontId="38" fillId="0" borderId="17" xfId="0" applyFont="1" applyBorder="1" applyAlignment="1">
      <alignment horizontal="center" vertical="center" textRotation="90" wrapText="1"/>
    </xf>
    <xf numFmtId="0" fontId="38" fillId="0" borderId="29" xfId="0" applyFont="1" applyBorder="1" applyAlignment="1">
      <alignment horizontal="center" vertical="center" textRotation="90" wrapText="1"/>
    </xf>
    <xf numFmtId="0" fontId="38" fillId="0" borderId="12" xfId="0" applyFont="1" applyBorder="1" applyAlignment="1">
      <alignment horizontal="center" vertical="center" textRotation="90" wrapText="1"/>
    </xf>
    <xf numFmtId="0" fontId="38" fillId="0" borderId="36" xfId="0" applyFont="1" applyBorder="1" applyAlignment="1">
      <alignment horizontal="center" vertical="center" textRotation="90" wrapText="1"/>
    </xf>
    <xf numFmtId="165" fontId="38" fillId="0" borderId="51" xfId="1" applyNumberFormat="1" applyFont="1" applyFill="1" applyBorder="1" applyAlignment="1">
      <alignment horizontal="center" vertical="center" textRotation="90"/>
    </xf>
    <xf numFmtId="165" fontId="38" fillId="0" borderId="52" xfId="1" applyNumberFormat="1" applyFont="1" applyFill="1" applyBorder="1" applyAlignment="1">
      <alignment horizontal="center" vertical="center" textRotation="90"/>
    </xf>
    <xf numFmtId="165" fontId="38" fillId="0" borderId="45" xfId="1" applyNumberFormat="1" applyFont="1" applyFill="1" applyBorder="1" applyAlignment="1">
      <alignment horizontal="center" vertical="center" textRotation="90"/>
    </xf>
    <xf numFmtId="165" fontId="38" fillId="0" borderId="48" xfId="1" applyNumberFormat="1" applyFont="1" applyFill="1" applyBorder="1" applyAlignment="1">
      <alignment horizontal="center" vertical="center" textRotation="90" wrapText="1"/>
    </xf>
    <xf numFmtId="165" fontId="38" fillId="0" borderId="49" xfId="1" applyNumberFormat="1" applyFont="1" applyFill="1" applyBorder="1" applyAlignment="1">
      <alignment horizontal="center" vertical="center" textRotation="90" wrapText="1"/>
    </xf>
    <xf numFmtId="165" fontId="38" fillId="0" borderId="50" xfId="1" applyNumberFormat="1" applyFont="1" applyFill="1" applyBorder="1" applyAlignment="1">
      <alignment horizontal="center" vertical="center" textRotation="90" wrapText="1"/>
    </xf>
    <xf numFmtId="165" fontId="38" fillId="0" borderId="15" xfId="1" applyNumberFormat="1" applyFont="1" applyFill="1" applyBorder="1" applyAlignment="1">
      <alignment horizontal="center" vertical="center" textRotation="90" wrapText="1"/>
    </xf>
    <xf numFmtId="165" fontId="38" fillId="0" borderId="1" xfId="1" applyNumberFormat="1" applyFont="1" applyFill="1" applyBorder="1" applyAlignment="1">
      <alignment horizontal="center" vertical="center" textRotation="90" wrapText="1"/>
    </xf>
    <xf numFmtId="165" fontId="38" fillId="0" borderId="17" xfId="1" applyNumberFormat="1" applyFont="1" applyFill="1" applyBorder="1" applyAlignment="1">
      <alignment horizontal="center" vertical="center" textRotation="90" wrapText="1"/>
    </xf>
    <xf numFmtId="0" fontId="37" fillId="0" borderId="1" xfId="0" applyFont="1" applyBorder="1" applyAlignment="1">
      <alignment horizontal="center" vertical="center" textRotation="45"/>
    </xf>
    <xf numFmtId="0" fontId="37" fillId="0" borderId="17" xfId="0" applyFont="1" applyBorder="1" applyAlignment="1">
      <alignment horizontal="center" vertical="center" textRotation="45"/>
    </xf>
    <xf numFmtId="0" fontId="38" fillId="6" borderId="1" xfId="0" applyFont="1" applyFill="1" applyBorder="1" applyAlignment="1">
      <alignment horizontal="center" vertical="center" textRotation="45" wrapText="1"/>
    </xf>
    <xf numFmtId="0" fontId="38" fillId="6" borderId="17" xfId="0" applyFont="1" applyFill="1" applyBorder="1" applyAlignment="1">
      <alignment horizontal="center" vertical="center" textRotation="45" wrapText="1"/>
    </xf>
    <xf numFmtId="0" fontId="39" fillId="0" borderId="68" xfId="0" applyFont="1" applyBorder="1" applyAlignment="1">
      <alignment horizontal="center" vertical="center"/>
    </xf>
    <xf numFmtId="0" fontId="39" fillId="0" borderId="58" xfId="0" applyFont="1" applyBorder="1" applyAlignment="1">
      <alignment horizontal="center" vertical="center"/>
    </xf>
    <xf numFmtId="0" fontId="39" fillId="0" borderId="59" xfId="0" applyFont="1" applyBorder="1" applyAlignment="1">
      <alignment horizontal="center" vertical="center"/>
    </xf>
    <xf numFmtId="0" fontId="36" fillId="4" borderId="69" xfId="0" applyFont="1" applyFill="1" applyBorder="1" applyAlignment="1">
      <alignment horizontal="center" vertical="center"/>
    </xf>
    <xf numFmtId="0" fontId="36" fillId="4" borderId="54" xfId="0" applyFont="1" applyFill="1" applyBorder="1" applyAlignment="1">
      <alignment horizontal="center" vertical="center"/>
    </xf>
    <xf numFmtId="0" fontId="36" fillId="4" borderId="57" xfId="0" applyFont="1" applyFill="1" applyBorder="1" applyAlignment="1">
      <alignment horizontal="center" vertical="center"/>
    </xf>
    <xf numFmtId="0" fontId="41" fillId="0" borderId="66" xfId="0" applyFont="1" applyBorder="1" applyAlignment="1">
      <alignment horizontal="center" vertical="center" textRotation="90"/>
    </xf>
    <xf numFmtId="0" fontId="41" fillId="0" borderId="64" xfId="0" applyFont="1" applyBorder="1" applyAlignment="1">
      <alignment horizontal="center" vertical="center" textRotation="90"/>
    </xf>
    <xf numFmtId="0" fontId="41" fillId="0" borderId="67" xfId="0" applyFont="1" applyBorder="1" applyAlignment="1">
      <alignment horizontal="center" vertical="center" textRotation="90"/>
    </xf>
    <xf numFmtId="2" fontId="41" fillId="0" borderId="66" xfId="0" applyNumberFormat="1" applyFont="1" applyBorder="1" applyAlignment="1">
      <alignment horizontal="center" vertical="center"/>
    </xf>
    <xf numFmtId="0" fontId="41" fillId="0" borderId="64" xfId="0" applyFont="1" applyBorder="1" applyAlignment="1">
      <alignment horizontal="center" vertical="center"/>
    </xf>
    <xf numFmtId="0" fontId="41" fillId="0" borderId="65" xfId="0" applyFont="1" applyBorder="1" applyAlignment="1">
      <alignment horizontal="center" vertical="center"/>
    </xf>
    <xf numFmtId="0" fontId="37" fillId="0" borderId="28" xfId="0" applyFont="1" applyBorder="1" applyAlignment="1">
      <alignment horizontal="center" vertical="center" wrapText="1"/>
    </xf>
    <xf numFmtId="0" fontId="37" fillId="0" borderId="32" xfId="0" applyFont="1" applyBorder="1" applyAlignment="1">
      <alignment horizontal="center" vertical="center" wrapText="1"/>
    </xf>
    <xf numFmtId="0" fontId="37" fillId="0" borderId="35" xfId="0" applyFont="1" applyBorder="1" applyAlignment="1">
      <alignment horizontal="center" vertical="center" wrapText="1"/>
    </xf>
    <xf numFmtId="0" fontId="37" fillId="0" borderId="29" xfId="0" applyFont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7" fillId="0" borderId="36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7" fillId="0" borderId="17" xfId="0" applyFont="1" applyBorder="1" applyAlignment="1">
      <alignment horizontal="center" vertical="center" wrapText="1"/>
    </xf>
    <xf numFmtId="0" fontId="37" fillId="0" borderId="15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 vertical="center"/>
    </xf>
    <xf numFmtId="0" fontId="37" fillId="0" borderId="17" xfId="0" applyFont="1" applyBorder="1" applyAlignment="1">
      <alignment horizontal="center" vertical="center"/>
    </xf>
    <xf numFmtId="165" fontId="37" fillId="0" borderId="15" xfId="1" applyNumberFormat="1" applyFont="1" applyFill="1" applyBorder="1" applyAlignment="1">
      <alignment horizontal="center" vertical="center" textRotation="90"/>
    </xf>
    <xf numFmtId="165" fontId="37" fillId="0" borderId="1" xfId="1" applyNumberFormat="1" applyFont="1" applyFill="1" applyBorder="1" applyAlignment="1">
      <alignment horizontal="center" vertical="center" textRotation="90"/>
    </xf>
    <xf numFmtId="165" fontId="37" fillId="0" borderId="17" xfId="1" applyNumberFormat="1" applyFont="1" applyFill="1" applyBorder="1" applyAlignment="1">
      <alignment horizontal="center" vertical="center" textRotation="90"/>
    </xf>
    <xf numFmtId="0" fontId="38" fillId="0" borderId="15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38" fillId="0" borderId="15" xfId="0" applyFont="1" applyBorder="1" applyAlignment="1">
      <alignment horizontal="center" wrapText="1"/>
    </xf>
    <xf numFmtId="0" fontId="38" fillId="0" borderId="1" xfId="0" applyFont="1" applyBorder="1" applyAlignment="1">
      <alignment horizontal="center" wrapText="1"/>
    </xf>
    <xf numFmtId="0" fontId="38" fillId="0" borderId="39" xfId="0" applyFont="1" applyBorder="1" applyAlignment="1">
      <alignment horizontal="center" vertical="center" textRotation="90" wrapText="1"/>
    </xf>
    <xf numFmtId="0" fontId="38" fillId="0" borderId="24" xfId="0" applyFont="1" applyBorder="1" applyAlignment="1">
      <alignment horizontal="center" vertical="center" textRotation="90" wrapText="1"/>
    </xf>
    <xf numFmtId="0" fontId="38" fillId="0" borderId="41" xfId="0" applyFont="1" applyBorder="1" applyAlignment="1">
      <alignment horizontal="center" vertical="center" textRotation="90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56"/>
  <sheetViews>
    <sheetView topLeftCell="A27" zoomScale="70" zoomScaleNormal="70" workbookViewId="0">
      <selection activeCell="F42" sqref="F42"/>
    </sheetView>
  </sheetViews>
  <sheetFormatPr defaultColWidth="8.81640625" defaultRowHeight="18" x14ac:dyDescent="0.4"/>
  <cols>
    <col min="1" max="1" width="8.1796875" style="1" customWidth="1"/>
    <col min="2" max="2" width="17.1796875" style="1" customWidth="1"/>
    <col min="3" max="3" width="23.1796875" style="1" customWidth="1"/>
    <col min="4" max="4" width="26.08984375" style="1" customWidth="1"/>
    <col min="5" max="5" width="74" style="90" customWidth="1"/>
    <col min="6" max="6" width="13.54296875" style="1" customWidth="1"/>
    <col min="7" max="7" width="12.6328125" style="1" customWidth="1"/>
    <col min="8" max="8" width="12.1796875" style="1" customWidth="1"/>
    <col min="9" max="9" width="8.81640625" style="14"/>
    <col min="10" max="11" width="8.81640625" style="1"/>
    <col min="12" max="12" width="8.08984375" style="1" customWidth="1"/>
    <col min="13" max="13" width="8.81640625" style="1"/>
    <col min="14" max="14" width="11.54296875" style="1" bestFit="1" customWidth="1"/>
    <col min="15" max="15" width="12.6328125" style="1" customWidth="1"/>
    <col min="16" max="16" width="8.81640625" style="1"/>
    <col min="17" max="17" width="10.54296875" style="1" customWidth="1"/>
    <col min="18" max="18" width="8.81640625" style="6"/>
    <col min="19" max="19" width="15.90625" style="1" customWidth="1"/>
    <col min="20" max="33" width="9.90625" style="1" customWidth="1"/>
    <col min="34" max="34" width="19" style="1" customWidth="1"/>
    <col min="35" max="35" width="12.54296875" style="1" customWidth="1"/>
    <col min="36" max="16384" width="8.81640625" style="1"/>
  </cols>
  <sheetData>
    <row r="1" spans="1:35" ht="38.4" customHeight="1" thickBot="1" x14ac:dyDescent="0.35">
      <c r="A1" s="468" t="s">
        <v>153</v>
      </c>
      <c r="B1" s="468"/>
      <c r="C1" s="468"/>
      <c r="D1" s="468"/>
      <c r="E1" s="468"/>
    </row>
    <row r="2" spans="1:35" ht="64.75" customHeight="1" thickBot="1" x14ac:dyDescent="0.35">
      <c r="A2" s="331" t="s">
        <v>33</v>
      </c>
      <c r="B2" s="332" t="s">
        <v>160</v>
      </c>
      <c r="C2" s="333" t="s">
        <v>0</v>
      </c>
      <c r="D2" s="332" t="s">
        <v>150</v>
      </c>
      <c r="E2" s="332" t="s">
        <v>159</v>
      </c>
      <c r="F2" s="334" t="s">
        <v>161</v>
      </c>
    </row>
    <row r="3" spans="1:35" ht="25.75" customHeight="1" x14ac:dyDescent="0.45">
      <c r="A3" s="327">
        <v>1</v>
      </c>
      <c r="B3" s="327" t="s">
        <v>35</v>
      </c>
      <c r="C3" s="328" t="s">
        <v>43</v>
      </c>
      <c r="D3" s="328" t="s">
        <v>47</v>
      </c>
      <c r="E3" s="329" t="s">
        <v>63</v>
      </c>
      <c r="F3" s="330">
        <v>7</v>
      </c>
      <c r="G3" s="290"/>
      <c r="H3" s="64"/>
      <c r="I3" s="69"/>
      <c r="J3" s="69"/>
      <c r="K3" s="69"/>
      <c r="L3" s="291"/>
      <c r="M3" s="69"/>
      <c r="N3" s="292"/>
      <c r="O3" s="292"/>
      <c r="P3" s="292"/>
      <c r="Q3" s="293"/>
      <c r="R3" s="294"/>
      <c r="T3" s="295"/>
      <c r="U3" s="69"/>
      <c r="V3" s="296"/>
      <c r="W3" s="69"/>
      <c r="X3" s="296"/>
      <c r="Y3" s="69"/>
      <c r="Z3" s="296"/>
      <c r="AA3" s="69"/>
      <c r="AB3" s="296"/>
      <c r="AC3" s="69"/>
      <c r="AD3" s="292"/>
      <c r="AE3" s="69"/>
      <c r="AF3" s="292"/>
      <c r="AG3" s="69"/>
      <c r="AH3" s="64"/>
      <c r="AI3" s="64"/>
    </row>
    <row r="4" spans="1:35" ht="25.75" customHeight="1" x14ac:dyDescent="0.45">
      <c r="A4" s="318">
        <v>2</v>
      </c>
      <c r="B4" s="318" t="s">
        <v>36</v>
      </c>
      <c r="C4" s="317" t="s">
        <v>43</v>
      </c>
      <c r="D4" s="317" t="s">
        <v>48</v>
      </c>
      <c r="E4" s="96" t="s">
        <v>64</v>
      </c>
      <c r="F4" s="320">
        <v>6.5</v>
      </c>
      <c r="G4" s="290"/>
      <c r="H4" s="64"/>
      <c r="I4" s="69"/>
      <c r="J4" s="297"/>
      <c r="K4" s="297"/>
      <c r="L4" s="291"/>
      <c r="M4" s="69"/>
      <c r="N4" s="292"/>
      <c r="O4" s="292"/>
      <c r="P4" s="292"/>
      <c r="Q4" s="293"/>
      <c r="R4" s="294"/>
      <c r="T4" s="295"/>
      <c r="U4" s="69"/>
      <c r="V4" s="296"/>
      <c r="W4" s="69"/>
      <c r="X4" s="296"/>
      <c r="Y4" s="69"/>
      <c r="Z4" s="296"/>
      <c r="AA4" s="69"/>
      <c r="AB4" s="296"/>
      <c r="AC4" s="69"/>
      <c r="AD4" s="292"/>
      <c r="AE4" s="69"/>
      <c r="AF4" s="292"/>
      <c r="AG4" s="69"/>
      <c r="AH4" s="64"/>
      <c r="AI4" s="64"/>
    </row>
    <row r="5" spans="1:35" ht="25.75" customHeight="1" x14ac:dyDescent="0.45">
      <c r="A5" s="316">
        <v>3</v>
      </c>
      <c r="B5" s="319" t="s">
        <v>37</v>
      </c>
      <c r="C5" s="317" t="s">
        <v>44</v>
      </c>
      <c r="D5" s="317" t="s">
        <v>49</v>
      </c>
      <c r="E5" s="96" t="s">
        <v>65</v>
      </c>
      <c r="F5" s="320">
        <v>10.5</v>
      </c>
      <c r="G5" s="290"/>
      <c r="H5" s="64"/>
      <c r="I5" s="69"/>
      <c r="J5" s="69"/>
      <c r="K5" s="69"/>
      <c r="L5" s="291"/>
      <c r="M5" s="69"/>
      <c r="N5" s="292"/>
      <c r="O5" s="292"/>
      <c r="P5" s="292"/>
      <c r="Q5" s="293"/>
      <c r="R5" s="294"/>
      <c r="T5" s="295"/>
      <c r="U5" s="69"/>
      <c r="V5" s="296"/>
      <c r="W5" s="69"/>
      <c r="X5" s="296"/>
      <c r="Y5" s="69"/>
      <c r="Z5" s="296"/>
      <c r="AA5" s="69"/>
      <c r="AB5" s="296"/>
      <c r="AC5" s="69"/>
      <c r="AD5" s="292"/>
      <c r="AE5" s="69"/>
      <c r="AF5" s="292"/>
      <c r="AG5" s="69"/>
      <c r="AH5" s="64"/>
      <c r="AI5" s="64"/>
    </row>
    <row r="6" spans="1:35" ht="25.75" customHeight="1" x14ac:dyDescent="0.45">
      <c r="A6" s="318">
        <v>4</v>
      </c>
      <c r="B6" s="316" t="s">
        <v>38</v>
      </c>
      <c r="C6" s="317" t="s">
        <v>45</v>
      </c>
      <c r="D6" s="317" t="s">
        <v>50</v>
      </c>
      <c r="E6" s="96" t="s">
        <v>66</v>
      </c>
      <c r="F6" s="320">
        <v>2.5</v>
      </c>
      <c r="G6" s="290"/>
      <c r="H6" s="64"/>
      <c r="I6" s="69"/>
      <c r="J6" s="297"/>
      <c r="K6" s="297"/>
      <c r="L6" s="291"/>
      <c r="M6" s="69"/>
      <c r="N6" s="292"/>
      <c r="O6" s="292"/>
      <c r="P6" s="292"/>
      <c r="Q6" s="298"/>
      <c r="R6" s="294"/>
      <c r="T6" s="295"/>
      <c r="U6" s="69"/>
      <c r="V6" s="296"/>
      <c r="W6" s="69"/>
      <c r="X6" s="296"/>
      <c r="Y6" s="69"/>
      <c r="Z6" s="296"/>
      <c r="AA6" s="69"/>
      <c r="AB6" s="296"/>
      <c r="AC6" s="69"/>
      <c r="AD6" s="292"/>
      <c r="AE6" s="69"/>
      <c r="AF6" s="292"/>
      <c r="AG6" s="69"/>
      <c r="AH6" s="64"/>
      <c r="AI6" s="64"/>
    </row>
    <row r="7" spans="1:35" ht="25.75" customHeight="1" x14ac:dyDescent="0.45">
      <c r="A7" s="316">
        <v>5</v>
      </c>
      <c r="B7" s="316" t="s">
        <v>38</v>
      </c>
      <c r="C7" s="317" t="s">
        <v>45</v>
      </c>
      <c r="D7" s="317" t="s">
        <v>51</v>
      </c>
      <c r="E7" s="96" t="s">
        <v>67</v>
      </c>
      <c r="F7" s="320">
        <v>1</v>
      </c>
      <c r="G7" s="290"/>
      <c r="H7" s="64"/>
      <c r="I7" s="69"/>
      <c r="J7" s="297"/>
      <c r="K7" s="297"/>
      <c r="L7" s="291"/>
      <c r="M7" s="69"/>
      <c r="N7" s="292"/>
      <c r="O7" s="292"/>
      <c r="P7" s="292"/>
      <c r="Q7" s="298"/>
      <c r="R7" s="294"/>
      <c r="T7" s="295"/>
      <c r="U7" s="69"/>
      <c r="V7" s="296"/>
      <c r="W7" s="69"/>
      <c r="X7" s="296"/>
      <c r="Y7" s="69"/>
      <c r="Z7" s="296"/>
      <c r="AA7" s="69"/>
      <c r="AB7" s="296"/>
      <c r="AC7" s="69"/>
      <c r="AD7" s="292"/>
      <c r="AE7" s="69"/>
      <c r="AF7" s="292"/>
      <c r="AG7" s="69"/>
      <c r="AH7" s="64"/>
      <c r="AI7" s="64"/>
    </row>
    <row r="8" spans="1:35" ht="25.75" customHeight="1" x14ac:dyDescent="0.45">
      <c r="A8" s="318">
        <v>6</v>
      </c>
      <c r="B8" s="316" t="s">
        <v>39</v>
      </c>
      <c r="C8" s="317" t="s">
        <v>45</v>
      </c>
      <c r="D8" s="317" t="s">
        <v>52</v>
      </c>
      <c r="E8" s="96" t="s">
        <v>68</v>
      </c>
      <c r="F8" s="320">
        <v>7</v>
      </c>
      <c r="G8" s="290"/>
      <c r="H8" s="64"/>
      <c r="I8" s="69"/>
      <c r="J8" s="297"/>
      <c r="K8" s="297"/>
      <c r="L8" s="291"/>
      <c r="M8" s="69"/>
      <c r="N8" s="292"/>
      <c r="O8" s="292"/>
      <c r="P8" s="292"/>
      <c r="Q8" s="298"/>
      <c r="R8" s="294"/>
      <c r="T8" s="295"/>
      <c r="U8" s="69"/>
      <c r="V8" s="296"/>
      <c r="W8" s="69"/>
      <c r="X8" s="296"/>
      <c r="Y8" s="69"/>
      <c r="Z8" s="296"/>
      <c r="AA8" s="69"/>
      <c r="AB8" s="296"/>
      <c r="AC8" s="69"/>
      <c r="AD8" s="292"/>
      <c r="AE8" s="69"/>
      <c r="AF8" s="292"/>
      <c r="AG8" s="69"/>
      <c r="AH8" s="64"/>
      <c r="AI8" s="64"/>
    </row>
    <row r="9" spans="1:35" ht="25.75" customHeight="1" x14ac:dyDescent="0.45">
      <c r="A9" s="316">
        <v>7</v>
      </c>
      <c r="B9" s="316" t="s">
        <v>40</v>
      </c>
      <c r="C9" s="317" t="s">
        <v>45</v>
      </c>
      <c r="D9" s="317" t="s">
        <v>53</v>
      </c>
      <c r="E9" s="96" t="s">
        <v>69</v>
      </c>
      <c r="F9" s="320">
        <v>2.65</v>
      </c>
      <c r="G9" s="290"/>
      <c r="H9" s="64"/>
      <c r="I9" s="69"/>
      <c r="J9" s="69"/>
      <c r="K9" s="69"/>
      <c r="L9" s="291"/>
      <c r="M9" s="69"/>
      <c r="N9" s="292"/>
      <c r="O9" s="292"/>
      <c r="P9" s="292"/>
      <c r="Q9" s="298"/>
      <c r="R9" s="294"/>
      <c r="T9" s="295"/>
      <c r="U9" s="69"/>
      <c r="V9" s="296"/>
      <c r="W9" s="69"/>
      <c r="X9" s="296"/>
      <c r="Y9" s="69"/>
      <c r="Z9" s="296"/>
      <c r="AA9" s="69"/>
      <c r="AB9" s="296"/>
      <c r="AC9" s="69"/>
      <c r="AD9" s="292"/>
      <c r="AE9" s="69"/>
      <c r="AF9" s="292"/>
      <c r="AG9" s="69"/>
      <c r="AH9" s="64"/>
      <c r="AI9" s="64"/>
    </row>
    <row r="10" spans="1:35" ht="25.75" customHeight="1" x14ac:dyDescent="0.45">
      <c r="A10" s="318">
        <v>8</v>
      </c>
      <c r="B10" s="316" t="s">
        <v>41</v>
      </c>
      <c r="C10" s="317" t="s">
        <v>46</v>
      </c>
      <c r="D10" s="317" t="s">
        <v>54</v>
      </c>
      <c r="E10" s="96" t="s">
        <v>70</v>
      </c>
      <c r="F10" s="320">
        <v>2.7</v>
      </c>
      <c r="G10" s="290"/>
      <c r="H10" s="64"/>
      <c r="I10" s="69"/>
      <c r="J10" s="297"/>
      <c r="K10" s="69"/>
      <c r="L10" s="291"/>
      <c r="M10" s="69"/>
      <c r="N10" s="292"/>
      <c r="O10" s="292"/>
      <c r="P10" s="292"/>
      <c r="Q10" s="298"/>
      <c r="R10" s="294"/>
      <c r="T10" s="295"/>
      <c r="U10" s="69"/>
      <c r="V10" s="296"/>
      <c r="W10" s="69"/>
      <c r="X10" s="296"/>
      <c r="Y10" s="69"/>
      <c r="Z10" s="296"/>
      <c r="AA10" s="69"/>
      <c r="AB10" s="296"/>
      <c r="AC10" s="69"/>
      <c r="AD10" s="292"/>
      <c r="AE10" s="69"/>
      <c r="AF10" s="292"/>
      <c r="AG10" s="69"/>
      <c r="AH10" s="64"/>
      <c r="AI10" s="64"/>
    </row>
    <row r="11" spans="1:35" ht="25.75" customHeight="1" x14ac:dyDescent="0.45">
      <c r="A11" s="316">
        <v>9</v>
      </c>
      <c r="B11" s="316" t="s">
        <v>41</v>
      </c>
      <c r="C11" s="317" t="s">
        <v>46</v>
      </c>
      <c r="D11" s="317" t="s">
        <v>55</v>
      </c>
      <c r="E11" s="96" t="s">
        <v>71</v>
      </c>
      <c r="F11" s="321">
        <v>2.7</v>
      </c>
      <c r="G11" s="64"/>
      <c r="H11" s="64"/>
      <c r="I11" s="69"/>
      <c r="J11" s="69"/>
      <c r="K11" s="69"/>
      <c r="L11" s="291"/>
      <c r="M11" s="69"/>
      <c r="N11" s="292"/>
      <c r="O11" s="292"/>
      <c r="P11" s="292"/>
      <c r="Q11" s="298"/>
      <c r="R11" s="294"/>
      <c r="T11" s="295"/>
      <c r="U11" s="69"/>
      <c r="V11" s="296"/>
      <c r="W11" s="69"/>
      <c r="X11" s="296"/>
      <c r="Y11" s="69"/>
      <c r="Z11" s="296"/>
      <c r="AA11" s="69"/>
      <c r="AB11" s="296"/>
      <c r="AC11" s="69"/>
      <c r="AD11" s="292"/>
      <c r="AE11" s="69"/>
      <c r="AF11" s="292"/>
      <c r="AG11" s="69"/>
      <c r="AH11" s="64"/>
      <c r="AI11" s="64"/>
    </row>
    <row r="12" spans="1:35" ht="25.75" customHeight="1" x14ac:dyDescent="0.45">
      <c r="A12" s="318">
        <v>10</v>
      </c>
      <c r="B12" s="319" t="s">
        <v>41</v>
      </c>
      <c r="C12" s="317" t="s">
        <v>46</v>
      </c>
      <c r="D12" s="317" t="s">
        <v>55</v>
      </c>
      <c r="E12" s="311" t="s">
        <v>72</v>
      </c>
      <c r="F12" s="320">
        <v>2.2999999999999998</v>
      </c>
      <c r="G12" s="290"/>
      <c r="H12" s="64"/>
      <c r="I12" s="69"/>
      <c r="J12" s="69"/>
      <c r="K12" s="69"/>
      <c r="L12" s="291"/>
      <c r="M12" s="69"/>
      <c r="N12" s="292"/>
      <c r="O12" s="292"/>
      <c r="P12" s="292"/>
      <c r="Q12" s="298"/>
      <c r="R12" s="294"/>
      <c r="T12" s="295"/>
      <c r="U12" s="69"/>
      <c r="V12" s="296"/>
      <c r="W12" s="69"/>
      <c r="X12" s="296"/>
      <c r="Y12" s="69"/>
      <c r="Z12" s="296"/>
      <c r="AA12" s="69"/>
      <c r="AB12" s="296"/>
      <c r="AC12" s="69"/>
      <c r="AD12" s="292"/>
      <c r="AE12" s="69"/>
      <c r="AF12" s="292"/>
      <c r="AG12" s="69"/>
      <c r="AH12" s="64"/>
      <c r="AI12" s="64"/>
    </row>
    <row r="13" spans="1:35" ht="25.75" customHeight="1" x14ac:dyDescent="0.45">
      <c r="A13" s="316">
        <v>11</v>
      </c>
      <c r="B13" s="316" t="s">
        <v>41</v>
      </c>
      <c r="C13" s="317" t="s">
        <v>46</v>
      </c>
      <c r="D13" s="317" t="s">
        <v>56</v>
      </c>
      <c r="E13" s="312" t="s">
        <v>73</v>
      </c>
      <c r="F13" s="321">
        <v>2</v>
      </c>
      <c r="G13" s="64"/>
      <c r="H13" s="64"/>
      <c r="I13" s="69"/>
      <c r="J13" s="69"/>
      <c r="K13" s="69"/>
      <c r="L13" s="291"/>
      <c r="M13" s="69"/>
      <c r="N13" s="292"/>
      <c r="O13" s="292"/>
      <c r="P13" s="292"/>
      <c r="Q13" s="298"/>
      <c r="R13" s="294"/>
      <c r="T13" s="295"/>
      <c r="U13" s="69"/>
      <c r="V13" s="296"/>
      <c r="W13" s="69"/>
      <c r="X13" s="296"/>
      <c r="Y13" s="69"/>
      <c r="Z13" s="296"/>
      <c r="AA13" s="69"/>
      <c r="AB13" s="296"/>
      <c r="AC13" s="69"/>
      <c r="AD13" s="292"/>
      <c r="AE13" s="69"/>
      <c r="AF13" s="292"/>
      <c r="AG13" s="69"/>
      <c r="AH13" s="64"/>
      <c r="AI13" s="64"/>
    </row>
    <row r="14" spans="1:35" ht="25.75" customHeight="1" x14ac:dyDescent="0.45">
      <c r="A14" s="318">
        <v>12</v>
      </c>
      <c r="B14" s="318" t="s">
        <v>39</v>
      </c>
      <c r="C14" s="317" t="s">
        <v>45</v>
      </c>
      <c r="D14" s="317" t="s">
        <v>57</v>
      </c>
      <c r="E14" s="315" t="s">
        <v>74</v>
      </c>
      <c r="F14" s="320">
        <v>3</v>
      </c>
      <c r="G14" s="290"/>
      <c r="H14" s="64"/>
      <c r="I14" s="69"/>
      <c r="J14" s="297"/>
      <c r="K14" s="69"/>
      <c r="L14" s="291"/>
      <c r="M14" s="69"/>
      <c r="N14" s="292"/>
      <c r="O14" s="292"/>
      <c r="P14" s="292"/>
      <c r="Q14" s="298"/>
      <c r="R14" s="294"/>
      <c r="T14" s="64"/>
      <c r="U14" s="292"/>
      <c r="V14" s="296"/>
      <c r="W14" s="69"/>
      <c r="X14" s="296"/>
      <c r="Y14" s="69"/>
      <c r="Z14" s="296"/>
      <c r="AA14" s="69"/>
      <c r="AB14" s="296"/>
      <c r="AC14" s="69"/>
      <c r="AD14" s="292"/>
      <c r="AE14" s="69"/>
      <c r="AF14" s="292"/>
      <c r="AG14" s="69"/>
      <c r="AH14" s="64"/>
      <c r="AI14" s="64"/>
    </row>
    <row r="15" spans="1:35" ht="25.75" customHeight="1" x14ac:dyDescent="0.45">
      <c r="A15" s="316">
        <v>13</v>
      </c>
      <c r="B15" s="318" t="s">
        <v>154</v>
      </c>
      <c r="C15" s="317" t="s">
        <v>45</v>
      </c>
      <c r="D15" s="317" t="s">
        <v>58</v>
      </c>
      <c r="E15" s="313" t="s">
        <v>75</v>
      </c>
      <c r="F15" s="320">
        <v>3</v>
      </c>
      <c r="G15" s="299"/>
      <c r="H15" s="64"/>
      <c r="I15" s="69"/>
      <c r="J15" s="297"/>
      <c r="K15" s="69"/>
      <c r="L15" s="291"/>
      <c r="M15" s="69"/>
      <c r="N15" s="292"/>
      <c r="O15" s="292"/>
      <c r="P15" s="292"/>
      <c r="Q15" s="298"/>
      <c r="R15" s="294"/>
      <c r="T15" s="64"/>
      <c r="U15" s="292"/>
      <c r="V15" s="64"/>
      <c r="W15" s="292"/>
      <c r="X15" s="296"/>
      <c r="Y15" s="69"/>
      <c r="Z15" s="296"/>
      <c r="AA15" s="69"/>
      <c r="AB15" s="296"/>
      <c r="AC15" s="69"/>
      <c r="AD15" s="292"/>
      <c r="AE15" s="69"/>
      <c r="AF15" s="292"/>
      <c r="AG15" s="69"/>
      <c r="AH15" s="64"/>
      <c r="AI15" s="64"/>
    </row>
    <row r="16" spans="1:35" ht="25.75" customHeight="1" x14ac:dyDescent="0.45">
      <c r="A16" s="318">
        <v>14</v>
      </c>
      <c r="B16" s="318" t="s">
        <v>154</v>
      </c>
      <c r="C16" s="317" t="s">
        <v>45</v>
      </c>
      <c r="D16" s="317" t="s">
        <v>58</v>
      </c>
      <c r="E16" s="313" t="s">
        <v>76</v>
      </c>
      <c r="F16" s="321">
        <v>2.7</v>
      </c>
      <c r="G16" s="64"/>
      <c r="H16" s="64"/>
      <c r="I16" s="69"/>
      <c r="J16" s="297"/>
      <c r="K16" s="69"/>
      <c r="L16" s="291"/>
      <c r="M16" s="69"/>
      <c r="N16" s="292"/>
      <c r="O16" s="292"/>
      <c r="P16" s="292"/>
      <c r="Q16" s="298"/>
      <c r="R16" s="294"/>
      <c r="T16" s="64"/>
      <c r="U16" s="292"/>
      <c r="V16" s="64"/>
      <c r="W16" s="292"/>
      <c r="X16" s="296"/>
      <c r="Y16" s="69"/>
      <c r="Z16" s="296"/>
      <c r="AA16" s="69"/>
      <c r="AB16" s="296"/>
      <c r="AC16" s="69"/>
      <c r="AD16" s="292"/>
      <c r="AE16" s="69"/>
      <c r="AF16" s="292"/>
      <c r="AG16" s="69"/>
      <c r="AH16" s="64"/>
      <c r="AI16" s="64"/>
    </row>
    <row r="17" spans="1:35" ht="25.75" customHeight="1" x14ac:dyDescent="0.45">
      <c r="A17" s="316">
        <v>15</v>
      </c>
      <c r="B17" s="318" t="s">
        <v>154</v>
      </c>
      <c r="C17" s="317" t="s">
        <v>46</v>
      </c>
      <c r="D17" s="317" t="s">
        <v>59</v>
      </c>
      <c r="E17" s="313" t="s">
        <v>77</v>
      </c>
      <c r="F17" s="320">
        <v>1.7</v>
      </c>
      <c r="G17" s="290"/>
      <c r="H17" s="64"/>
      <c r="I17" s="69"/>
      <c r="J17" s="297"/>
      <c r="K17" s="69"/>
      <c r="L17" s="291"/>
      <c r="M17" s="69"/>
      <c r="N17" s="292"/>
      <c r="O17" s="292"/>
      <c r="P17" s="292"/>
      <c r="Q17" s="298"/>
      <c r="R17" s="294"/>
      <c r="T17" s="64"/>
      <c r="U17" s="292"/>
      <c r="V17" s="64"/>
      <c r="W17" s="292"/>
      <c r="X17" s="296"/>
      <c r="Y17" s="69"/>
      <c r="Z17" s="296"/>
      <c r="AA17" s="69"/>
      <c r="AB17" s="296"/>
      <c r="AC17" s="69"/>
      <c r="AD17" s="292"/>
      <c r="AE17" s="69"/>
      <c r="AF17" s="292"/>
      <c r="AG17" s="69"/>
      <c r="AH17" s="64"/>
      <c r="AI17" s="64"/>
    </row>
    <row r="18" spans="1:35" ht="25.75" customHeight="1" x14ac:dyDescent="0.45">
      <c r="A18" s="318">
        <v>16</v>
      </c>
      <c r="B18" s="318" t="s">
        <v>154</v>
      </c>
      <c r="C18" s="317" t="s">
        <v>46</v>
      </c>
      <c r="D18" s="317" t="s">
        <v>60</v>
      </c>
      <c r="E18" s="313" t="s">
        <v>78</v>
      </c>
      <c r="F18" s="320">
        <v>2</v>
      </c>
      <c r="G18" s="290"/>
      <c r="H18" s="64"/>
      <c r="I18" s="69"/>
      <c r="J18" s="297"/>
      <c r="K18" s="69"/>
      <c r="L18" s="291"/>
      <c r="M18" s="69"/>
      <c r="N18" s="292"/>
      <c r="O18" s="292"/>
      <c r="P18" s="292"/>
      <c r="Q18" s="298"/>
      <c r="R18" s="294"/>
      <c r="T18" s="64"/>
      <c r="U18" s="292"/>
      <c r="V18" s="64"/>
      <c r="W18" s="292"/>
      <c r="X18" s="296"/>
      <c r="Y18" s="69"/>
      <c r="Z18" s="296"/>
      <c r="AA18" s="69"/>
      <c r="AB18" s="296"/>
      <c r="AC18" s="69"/>
      <c r="AD18" s="292"/>
      <c r="AE18" s="69"/>
      <c r="AF18" s="292"/>
      <c r="AG18" s="69"/>
      <c r="AH18" s="64"/>
      <c r="AI18" s="64"/>
    </row>
    <row r="19" spans="1:35" ht="25.75" customHeight="1" x14ac:dyDescent="0.45">
      <c r="A19" s="316">
        <v>17</v>
      </c>
      <c r="B19" s="318" t="s">
        <v>154</v>
      </c>
      <c r="C19" s="317" t="s">
        <v>46</v>
      </c>
      <c r="D19" s="317" t="s">
        <v>61</v>
      </c>
      <c r="E19" s="313" t="s">
        <v>79</v>
      </c>
      <c r="F19" s="321">
        <v>2</v>
      </c>
      <c r="G19" s="64"/>
      <c r="H19" s="64"/>
      <c r="I19" s="69"/>
      <c r="J19" s="297"/>
      <c r="K19" s="69"/>
      <c r="L19" s="291"/>
      <c r="M19" s="69"/>
      <c r="N19" s="292"/>
      <c r="O19" s="292"/>
      <c r="P19" s="292"/>
      <c r="Q19" s="298"/>
      <c r="R19" s="294"/>
      <c r="T19" s="64"/>
      <c r="U19" s="292"/>
      <c r="V19" s="64"/>
      <c r="W19" s="292"/>
      <c r="X19" s="296"/>
      <c r="Y19" s="69"/>
      <c r="Z19" s="296"/>
      <c r="AA19" s="69"/>
      <c r="AB19" s="296"/>
      <c r="AC19" s="69"/>
      <c r="AD19" s="292"/>
      <c r="AE19" s="69"/>
      <c r="AF19" s="292"/>
      <c r="AG19" s="69"/>
      <c r="AH19" s="64"/>
      <c r="AI19" s="64"/>
    </row>
    <row r="20" spans="1:35" ht="25.75" customHeight="1" x14ac:dyDescent="0.45">
      <c r="A20" s="318">
        <v>18</v>
      </c>
      <c r="B20" s="318" t="s">
        <v>154</v>
      </c>
      <c r="C20" s="317" t="s">
        <v>46</v>
      </c>
      <c r="D20" s="317" t="s">
        <v>62</v>
      </c>
      <c r="E20" s="313" t="s">
        <v>80</v>
      </c>
      <c r="F20" s="320">
        <v>2</v>
      </c>
      <c r="G20" s="290"/>
      <c r="H20" s="64"/>
      <c r="I20" s="69"/>
      <c r="J20" s="297"/>
      <c r="K20" s="69"/>
      <c r="L20" s="291"/>
      <c r="M20" s="69"/>
      <c r="N20" s="292"/>
      <c r="O20" s="292"/>
      <c r="P20" s="292"/>
      <c r="Q20" s="298"/>
      <c r="R20" s="294"/>
      <c r="T20" s="64"/>
      <c r="U20" s="292"/>
      <c r="V20" s="64"/>
      <c r="W20" s="292"/>
      <c r="X20" s="296"/>
      <c r="Y20" s="69"/>
      <c r="Z20" s="296"/>
      <c r="AA20" s="69"/>
      <c r="AB20" s="296"/>
      <c r="AC20" s="69"/>
      <c r="AD20" s="292"/>
      <c r="AE20" s="69"/>
      <c r="AF20" s="292"/>
      <c r="AG20" s="69"/>
      <c r="AH20" s="64"/>
      <c r="AI20" s="64"/>
    </row>
    <row r="21" spans="1:35" ht="25.75" customHeight="1" x14ac:dyDescent="0.45">
      <c r="A21" s="316">
        <v>19</v>
      </c>
      <c r="B21" s="318" t="s">
        <v>154</v>
      </c>
      <c r="C21" s="317" t="s">
        <v>46</v>
      </c>
      <c r="D21" s="317" t="s">
        <v>62</v>
      </c>
      <c r="E21" s="313" t="s">
        <v>81</v>
      </c>
      <c r="F21" s="321">
        <v>2.7</v>
      </c>
      <c r="G21" s="64"/>
      <c r="H21" s="64"/>
      <c r="I21" s="69"/>
      <c r="J21" s="297"/>
      <c r="K21" s="69"/>
      <c r="L21" s="291"/>
      <c r="M21" s="69"/>
      <c r="N21" s="292"/>
      <c r="O21" s="292"/>
      <c r="P21" s="292"/>
      <c r="Q21" s="298"/>
      <c r="R21" s="294"/>
      <c r="T21" s="64"/>
      <c r="U21" s="292"/>
      <c r="V21" s="64"/>
      <c r="W21" s="292"/>
      <c r="X21" s="296"/>
      <c r="Y21" s="69"/>
      <c r="Z21" s="296"/>
      <c r="AA21" s="69"/>
      <c r="AB21" s="296"/>
      <c r="AC21" s="69"/>
      <c r="AD21" s="292"/>
      <c r="AE21" s="69"/>
      <c r="AF21" s="292"/>
      <c r="AG21" s="69"/>
      <c r="AH21" s="64"/>
      <c r="AI21" s="64"/>
    </row>
    <row r="22" spans="1:35" ht="25.75" customHeight="1" x14ac:dyDescent="0.45">
      <c r="A22" s="342"/>
      <c r="B22" s="343"/>
      <c r="C22" s="344"/>
      <c r="D22" s="344"/>
      <c r="E22" s="340" t="s">
        <v>158</v>
      </c>
      <c r="F22" s="339">
        <f>SUM(F3:F21)</f>
        <v>65.95</v>
      </c>
      <c r="G22" s="64"/>
      <c r="H22" s="64"/>
      <c r="I22" s="69"/>
      <c r="J22" s="297"/>
      <c r="K22" s="69"/>
      <c r="L22" s="291"/>
      <c r="M22" s="69"/>
      <c r="N22" s="292"/>
      <c r="O22" s="292"/>
      <c r="P22" s="292"/>
      <c r="Q22" s="298"/>
      <c r="R22" s="294"/>
      <c r="T22" s="64"/>
      <c r="U22" s="292"/>
      <c r="V22" s="64"/>
      <c r="W22" s="292"/>
      <c r="X22" s="296"/>
      <c r="Y22" s="69"/>
      <c r="Z22" s="296"/>
      <c r="AA22" s="69"/>
      <c r="AB22" s="296"/>
      <c r="AC22" s="69"/>
      <c r="AD22" s="292"/>
      <c r="AE22" s="69"/>
      <c r="AF22" s="292"/>
      <c r="AG22" s="69"/>
      <c r="AH22" s="64"/>
      <c r="AI22" s="64"/>
    </row>
    <row r="23" spans="1:35" ht="48" customHeight="1" thickBot="1" x14ac:dyDescent="0.35">
      <c r="A23" s="335" t="s">
        <v>33</v>
      </c>
      <c r="B23" s="336" t="s">
        <v>160</v>
      </c>
      <c r="C23" s="337" t="s">
        <v>0</v>
      </c>
      <c r="D23" s="336" t="s">
        <v>150</v>
      </c>
      <c r="E23" s="336" t="s">
        <v>162</v>
      </c>
      <c r="F23" s="338" t="s">
        <v>161</v>
      </c>
      <c r="G23" s="64"/>
      <c r="H23" s="64"/>
      <c r="I23" s="288"/>
      <c r="J23" s="64"/>
      <c r="K23" s="64"/>
      <c r="L23" s="64"/>
      <c r="M23" s="292"/>
      <c r="N23" s="292"/>
      <c r="O23" s="292"/>
      <c r="P23" s="292"/>
      <c r="R23" s="294"/>
      <c r="T23" s="64"/>
      <c r="U23" s="292"/>
      <c r="V23" s="64"/>
      <c r="W23" s="292"/>
      <c r="X23" s="292"/>
      <c r="Y23" s="292"/>
      <c r="Z23" s="292"/>
      <c r="AA23" s="292"/>
      <c r="AB23" s="292"/>
      <c r="AC23" s="292"/>
      <c r="AD23" s="292"/>
      <c r="AE23" s="292"/>
      <c r="AF23" s="292"/>
      <c r="AG23" s="292"/>
      <c r="AH23" s="64"/>
      <c r="AI23" s="64"/>
    </row>
    <row r="24" spans="1:35" ht="25.75" customHeight="1" x14ac:dyDescent="0.45">
      <c r="A24" s="316">
        <v>1</v>
      </c>
      <c r="B24" s="318" t="s">
        <v>39</v>
      </c>
      <c r="C24" s="317" t="s">
        <v>45</v>
      </c>
      <c r="D24" s="317" t="s">
        <v>57</v>
      </c>
      <c r="E24" s="323" t="s">
        <v>74</v>
      </c>
      <c r="F24" s="320">
        <v>3</v>
      </c>
      <c r="G24" s="64"/>
      <c r="H24" s="64"/>
      <c r="I24" s="288"/>
      <c r="J24" s="64"/>
      <c r="K24" s="64"/>
      <c r="L24" s="64"/>
      <c r="M24" s="292"/>
      <c r="N24" s="292"/>
      <c r="O24" s="292"/>
      <c r="P24" s="292"/>
      <c r="R24" s="294"/>
      <c r="T24" s="64"/>
      <c r="U24" s="292"/>
      <c r="V24" s="64"/>
      <c r="W24" s="292"/>
      <c r="X24" s="292"/>
      <c r="Y24" s="292"/>
      <c r="Z24" s="292"/>
      <c r="AA24" s="292"/>
      <c r="AB24" s="292"/>
      <c r="AC24" s="292"/>
      <c r="AD24" s="292"/>
      <c r="AE24" s="292"/>
      <c r="AF24" s="292"/>
      <c r="AG24" s="292"/>
      <c r="AH24" s="64"/>
      <c r="AI24" s="64"/>
    </row>
    <row r="25" spans="1:35" ht="25.75" customHeight="1" x14ac:dyDescent="0.45">
      <c r="A25" s="316">
        <v>2</v>
      </c>
      <c r="B25" s="318" t="s">
        <v>155</v>
      </c>
      <c r="C25" s="317" t="s">
        <v>43</v>
      </c>
      <c r="D25" s="317" t="s">
        <v>43</v>
      </c>
      <c r="E25" s="96" t="s">
        <v>101</v>
      </c>
      <c r="F25" s="321">
        <v>4</v>
      </c>
      <c r="G25" s="290"/>
      <c r="H25" s="64"/>
      <c r="I25" s="69"/>
      <c r="J25" s="297"/>
      <c r="K25" s="69"/>
      <c r="L25" s="291"/>
      <c r="M25" s="69"/>
      <c r="N25" s="300"/>
      <c r="O25" s="292"/>
      <c r="P25" s="292"/>
      <c r="R25" s="294"/>
      <c r="T25" s="64"/>
      <c r="U25" s="292"/>
      <c r="V25" s="64"/>
      <c r="W25" s="292"/>
      <c r="X25" s="292"/>
      <c r="Y25" s="301"/>
      <c r="Z25" s="292"/>
      <c r="AA25" s="301"/>
      <c r="AB25" s="301"/>
      <c r="AC25" s="301"/>
      <c r="AD25" s="301"/>
      <c r="AE25" s="301"/>
      <c r="AF25" s="292"/>
      <c r="AG25" s="301"/>
      <c r="AH25" s="64"/>
      <c r="AI25" s="64"/>
    </row>
    <row r="26" spans="1:35" ht="25.75" customHeight="1" x14ac:dyDescent="0.45">
      <c r="A26" s="316">
        <v>3</v>
      </c>
      <c r="B26" s="316" t="s">
        <v>93</v>
      </c>
      <c r="C26" s="317" t="s">
        <v>45</v>
      </c>
      <c r="D26" s="317" t="s">
        <v>58</v>
      </c>
      <c r="E26" s="96" t="s">
        <v>96</v>
      </c>
      <c r="F26" s="321">
        <v>1</v>
      </c>
      <c r="G26" s="64"/>
      <c r="H26" s="69"/>
      <c r="I26" s="302"/>
      <c r="J26" s="69"/>
      <c r="K26" s="69"/>
      <c r="L26" s="64"/>
      <c r="M26" s="69"/>
      <c r="N26" s="300"/>
      <c r="O26" s="292"/>
      <c r="P26" s="292"/>
      <c r="Q26" s="298"/>
      <c r="R26" s="294"/>
      <c r="T26" s="64"/>
      <c r="U26" s="292"/>
      <c r="V26" s="64"/>
      <c r="W26" s="292"/>
      <c r="X26" s="296"/>
      <c r="Y26" s="69"/>
      <c r="Z26" s="296"/>
      <c r="AA26" s="69"/>
      <c r="AB26" s="296"/>
      <c r="AC26" s="69"/>
      <c r="AD26" s="292"/>
      <c r="AE26" s="69"/>
      <c r="AF26" s="292"/>
      <c r="AG26" s="301"/>
      <c r="AH26" s="64"/>
      <c r="AI26" s="64"/>
    </row>
    <row r="27" spans="1:35" ht="25.75" customHeight="1" x14ac:dyDescent="0.45">
      <c r="A27" s="316">
        <v>4</v>
      </c>
      <c r="B27" s="318" t="s">
        <v>155</v>
      </c>
      <c r="C27" s="317" t="s">
        <v>43</v>
      </c>
      <c r="D27" s="317" t="s">
        <v>43</v>
      </c>
      <c r="E27" s="96" t="s">
        <v>100</v>
      </c>
      <c r="F27" s="321">
        <v>1.5</v>
      </c>
      <c r="G27" s="64"/>
      <c r="H27" s="69"/>
      <c r="I27" s="69"/>
      <c r="J27" s="69"/>
      <c r="K27" s="69"/>
      <c r="L27" s="64"/>
      <c r="M27" s="69"/>
      <c r="N27" s="300"/>
      <c r="O27" s="292"/>
      <c r="P27" s="292"/>
      <c r="Q27" s="298"/>
      <c r="R27" s="294"/>
      <c r="T27" s="64"/>
      <c r="U27" s="292"/>
      <c r="V27" s="296"/>
      <c r="W27" s="69"/>
      <c r="X27" s="296"/>
      <c r="Y27" s="69"/>
      <c r="Z27" s="296"/>
      <c r="AA27" s="69"/>
      <c r="AB27" s="296"/>
      <c r="AC27" s="69"/>
      <c r="AD27" s="292"/>
      <c r="AE27" s="69"/>
      <c r="AF27" s="292"/>
      <c r="AG27" s="301"/>
      <c r="AH27" s="64"/>
      <c r="AI27" s="64"/>
    </row>
    <row r="28" spans="1:35" ht="25.75" customHeight="1" x14ac:dyDescent="0.45">
      <c r="A28" s="316">
        <v>5</v>
      </c>
      <c r="B28" s="318" t="s">
        <v>35</v>
      </c>
      <c r="C28" s="317" t="s">
        <v>43</v>
      </c>
      <c r="D28" s="317" t="s">
        <v>120</v>
      </c>
      <c r="E28" s="323" t="s">
        <v>129</v>
      </c>
      <c r="F28" s="322">
        <v>8</v>
      </c>
      <c r="G28" s="64"/>
      <c r="H28" s="69"/>
      <c r="I28" s="69"/>
      <c r="J28" s="69"/>
      <c r="K28" s="69"/>
      <c r="L28" s="64"/>
      <c r="M28" s="69"/>
      <c r="N28" s="300"/>
      <c r="O28" s="292"/>
      <c r="P28" s="292"/>
      <c r="Q28" s="298"/>
      <c r="R28" s="294"/>
      <c r="T28" s="64"/>
      <c r="U28" s="292"/>
      <c r="V28" s="296"/>
      <c r="W28" s="69"/>
      <c r="X28" s="296"/>
      <c r="Y28" s="69"/>
      <c r="Z28" s="296"/>
      <c r="AA28" s="69"/>
      <c r="AB28" s="296"/>
      <c r="AC28" s="69"/>
      <c r="AD28" s="292"/>
      <c r="AE28" s="69"/>
      <c r="AF28" s="292"/>
      <c r="AG28" s="301"/>
      <c r="AH28" s="64"/>
      <c r="AI28" s="64"/>
    </row>
    <row r="29" spans="1:35" ht="25.75" customHeight="1" x14ac:dyDescent="0.45">
      <c r="A29" s="316">
        <v>6</v>
      </c>
      <c r="B29" s="318" t="s">
        <v>155</v>
      </c>
      <c r="C29" s="317" t="s">
        <v>45</v>
      </c>
      <c r="D29" s="317" t="s">
        <v>51</v>
      </c>
      <c r="E29" s="96" t="s">
        <v>97</v>
      </c>
      <c r="F29" s="321">
        <v>2</v>
      </c>
      <c r="G29" s="303"/>
      <c r="H29" s="69"/>
      <c r="I29" s="69"/>
      <c r="J29" s="69"/>
      <c r="K29" s="69"/>
      <c r="L29" s="64"/>
      <c r="M29" s="69"/>
      <c r="N29" s="300"/>
      <c r="O29" s="292"/>
      <c r="P29" s="292"/>
      <c r="Q29" s="298"/>
      <c r="R29" s="294"/>
      <c r="T29" s="64"/>
      <c r="U29" s="292"/>
      <c r="V29" s="64"/>
      <c r="W29" s="292"/>
      <c r="X29" s="64"/>
      <c r="Y29" s="69"/>
      <c r="Z29" s="296"/>
      <c r="AA29" s="69"/>
      <c r="AB29" s="296"/>
      <c r="AC29" s="69"/>
      <c r="AD29" s="292"/>
      <c r="AE29" s="69"/>
      <c r="AF29" s="292"/>
      <c r="AG29" s="301"/>
      <c r="AH29" s="64"/>
      <c r="AI29" s="64"/>
    </row>
    <row r="30" spans="1:35" ht="25.75" customHeight="1" x14ac:dyDescent="0.45">
      <c r="A30" s="316">
        <v>7</v>
      </c>
      <c r="B30" s="318" t="s">
        <v>86</v>
      </c>
      <c r="C30" s="317" t="s">
        <v>43</v>
      </c>
      <c r="D30" s="317" t="s">
        <v>130</v>
      </c>
      <c r="E30" s="323" t="s">
        <v>109</v>
      </c>
      <c r="F30" s="320">
        <v>4.75</v>
      </c>
      <c r="G30" s="64"/>
      <c r="H30" s="69"/>
      <c r="I30" s="69"/>
      <c r="J30" s="69"/>
      <c r="K30" s="69"/>
      <c r="L30" s="64"/>
      <c r="M30" s="69"/>
      <c r="N30" s="300"/>
      <c r="O30" s="292"/>
      <c r="P30" s="292"/>
      <c r="Q30" s="298"/>
      <c r="R30" s="294"/>
      <c r="T30" s="64"/>
      <c r="U30" s="292"/>
      <c r="V30" s="296"/>
      <c r="W30" s="69"/>
      <c r="X30" s="296"/>
      <c r="Y30" s="69"/>
      <c r="Z30" s="296"/>
      <c r="AA30" s="69"/>
      <c r="AB30" s="296"/>
      <c r="AC30" s="69"/>
      <c r="AD30" s="292"/>
      <c r="AE30" s="69"/>
      <c r="AF30" s="292"/>
      <c r="AG30" s="301"/>
      <c r="AH30" s="64"/>
      <c r="AI30" s="64"/>
    </row>
    <row r="31" spans="1:35" ht="25.75" customHeight="1" x14ac:dyDescent="0.45">
      <c r="A31" s="316">
        <v>8</v>
      </c>
      <c r="B31" s="318" t="s">
        <v>155</v>
      </c>
      <c r="C31" s="317" t="s">
        <v>43</v>
      </c>
      <c r="D31" s="317" t="s">
        <v>123</v>
      </c>
      <c r="E31" s="96" t="s">
        <v>98</v>
      </c>
      <c r="F31" s="321">
        <v>1.8</v>
      </c>
      <c r="G31" s="290"/>
      <c r="H31" s="69"/>
      <c r="I31" s="69"/>
      <c r="J31" s="69"/>
      <c r="K31" s="69"/>
      <c r="L31" s="64"/>
      <c r="M31" s="69"/>
      <c r="N31" s="300"/>
      <c r="O31" s="292"/>
      <c r="P31" s="292"/>
      <c r="Q31" s="298"/>
      <c r="R31" s="294"/>
      <c r="T31" s="64"/>
      <c r="U31" s="292"/>
      <c r="V31" s="64"/>
      <c r="W31" s="292"/>
      <c r="X31" s="64"/>
      <c r="Y31" s="292"/>
      <c r="Z31" s="296"/>
      <c r="AA31" s="69"/>
      <c r="AB31" s="296"/>
      <c r="AC31" s="69"/>
      <c r="AD31" s="292"/>
      <c r="AE31" s="69"/>
      <c r="AF31" s="292"/>
      <c r="AG31" s="69"/>
      <c r="AH31" s="64"/>
      <c r="AI31" s="64"/>
    </row>
    <row r="32" spans="1:35" ht="25.75" customHeight="1" x14ac:dyDescent="0.45">
      <c r="A32" s="316">
        <v>9</v>
      </c>
      <c r="B32" s="318" t="s">
        <v>155</v>
      </c>
      <c r="C32" s="317" t="s">
        <v>43</v>
      </c>
      <c r="D32" s="317" t="s">
        <v>124</v>
      </c>
      <c r="E32" s="96" t="s">
        <v>99</v>
      </c>
      <c r="F32" s="321">
        <v>5</v>
      </c>
      <c r="G32" s="64"/>
      <c r="H32" s="69"/>
      <c r="I32" s="69"/>
      <c r="J32" s="69"/>
      <c r="K32" s="69"/>
      <c r="L32" s="64"/>
      <c r="M32" s="69"/>
      <c r="N32" s="300"/>
      <c r="O32" s="292"/>
      <c r="P32" s="292"/>
      <c r="Q32" s="298"/>
      <c r="R32" s="294"/>
      <c r="T32" s="64"/>
      <c r="U32" s="292"/>
      <c r="V32" s="296"/>
      <c r="W32" s="69"/>
      <c r="X32" s="296"/>
      <c r="Y32" s="69"/>
      <c r="Z32" s="296"/>
      <c r="AA32" s="69"/>
      <c r="AB32" s="296"/>
      <c r="AC32" s="69"/>
      <c r="AD32" s="292"/>
      <c r="AE32" s="69"/>
      <c r="AF32" s="292"/>
      <c r="AG32" s="69"/>
      <c r="AH32" s="64"/>
      <c r="AI32" s="64"/>
    </row>
    <row r="33" spans="1:35" ht="25.75" customHeight="1" x14ac:dyDescent="0.45">
      <c r="A33" s="316">
        <v>10</v>
      </c>
      <c r="B33" s="318" t="s">
        <v>92</v>
      </c>
      <c r="C33" s="317" t="s">
        <v>44</v>
      </c>
      <c r="D33" s="317" t="s">
        <v>122</v>
      </c>
      <c r="E33" s="323" t="s">
        <v>118</v>
      </c>
      <c r="F33" s="320">
        <v>7.9</v>
      </c>
      <c r="G33" s="64"/>
      <c r="H33" s="69"/>
      <c r="I33" s="69"/>
      <c r="J33" s="69"/>
      <c r="K33" s="69"/>
      <c r="L33" s="64"/>
      <c r="M33" s="69"/>
      <c r="N33" s="300"/>
      <c r="O33" s="292"/>
      <c r="P33" s="292"/>
      <c r="Q33" s="298"/>
      <c r="R33" s="294"/>
      <c r="T33" s="64"/>
      <c r="U33" s="292"/>
      <c r="V33" s="296"/>
      <c r="W33" s="69"/>
      <c r="X33" s="296"/>
      <c r="Y33" s="69"/>
      <c r="Z33" s="296"/>
      <c r="AA33" s="69"/>
      <c r="AB33" s="296"/>
      <c r="AC33" s="69"/>
      <c r="AD33" s="292"/>
      <c r="AE33" s="69"/>
      <c r="AF33" s="292"/>
      <c r="AG33" s="69"/>
      <c r="AH33" s="64"/>
      <c r="AI33" s="64"/>
    </row>
    <row r="34" spans="1:35" ht="25.75" customHeight="1" x14ac:dyDescent="0.45">
      <c r="A34" s="316">
        <v>11</v>
      </c>
      <c r="B34" s="318" t="s">
        <v>88</v>
      </c>
      <c r="C34" s="317" t="s">
        <v>44</v>
      </c>
      <c r="D34" s="317" t="s">
        <v>132</v>
      </c>
      <c r="E34" s="323" t="s">
        <v>112</v>
      </c>
      <c r="F34" s="321">
        <v>10.3</v>
      </c>
      <c r="G34" s="290"/>
      <c r="H34" s="69"/>
      <c r="I34" s="69"/>
      <c r="J34" s="69"/>
      <c r="K34" s="69"/>
      <c r="L34" s="64"/>
      <c r="M34" s="69"/>
      <c r="N34" s="300"/>
      <c r="O34" s="292"/>
      <c r="P34" s="292"/>
      <c r="Q34" s="298"/>
      <c r="R34" s="294"/>
      <c r="T34" s="64"/>
      <c r="U34" s="292"/>
      <c r="V34" s="64"/>
      <c r="W34" s="292"/>
      <c r="X34" s="64"/>
      <c r="Y34" s="292"/>
      <c r="Z34" s="64"/>
      <c r="AA34" s="69"/>
      <c r="AB34" s="296"/>
      <c r="AC34" s="69"/>
      <c r="AD34" s="292"/>
      <c r="AE34" s="69"/>
      <c r="AF34" s="292"/>
      <c r="AG34" s="69"/>
      <c r="AH34" s="64"/>
      <c r="AI34" s="64"/>
    </row>
    <row r="35" spans="1:35" ht="25.75" customHeight="1" x14ac:dyDescent="0.45">
      <c r="A35" s="316">
        <v>12</v>
      </c>
      <c r="B35" s="318" t="s">
        <v>93</v>
      </c>
      <c r="C35" s="317" t="s">
        <v>45</v>
      </c>
      <c r="D35" s="317" t="s">
        <v>58</v>
      </c>
      <c r="E35" s="323" t="s">
        <v>119</v>
      </c>
      <c r="F35" s="320">
        <v>5.8</v>
      </c>
      <c r="G35" s="64"/>
      <c r="H35" s="69"/>
      <c r="I35" s="69"/>
      <c r="J35" s="69"/>
      <c r="K35" s="69"/>
      <c r="L35" s="64"/>
      <c r="M35" s="69"/>
      <c r="N35" s="300"/>
      <c r="O35" s="292"/>
      <c r="P35" s="292"/>
      <c r="Q35" s="298"/>
      <c r="R35" s="294"/>
      <c r="T35" s="64"/>
      <c r="U35" s="292"/>
      <c r="V35" s="64"/>
      <c r="W35" s="292"/>
      <c r="X35" s="64"/>
      <c r="Y35" s="292"/>
      <c r="Z35" s="64"/>
      <c r="AA35" s="69"/>
      <c r="AB35" s="296"/>
      <c r="AC35" s="69"/>
      <c r="AD35" s="292"/>
      <c r="AE35" s="69"/>
      <c r="AF35" s="292"/>
      <c r="AG35" s="69"/>
      <c r="AH35" s="64"/>
      <c r="AI35" s="64"/>
    </row>
    <row r="36" spans="1:35" ht="25.75" customHeight="1" x14ac:dyDescent="0.45">
      <c r="A36" s="316">
        <v>13</v>
      </c>
      <c r="B36" s="316" t="s">
        <v>42</v>
      </c>
      <c r="C36" s="317" t="s">
        <v>44</v>
      </c>
      <c r="D36" s="317" t="s">
        <v>126</v>
      </c>
      <c r="E36" s="96" t="s">
        <v>105</v>
      </c>
      <c r="F36" s="321">
        <v>3.5</v>
      </c>
      <c r="G36" s="290"/>
      <c r="H36" s="69"/>
      <c r="I36" s="69"/>
      <c r="J36" s="69"/>
      <c r="K36" s="69"/>
      <c r="L36" s="64"/>
      <c r="M36" s="69"/>
      <c r="N36" s="300"/>
      <c r="O36" s="292"/>
      <c r="P36" s="292"/>
      <c r="Q36" s="293"/>
      <c r="R36" s="294"/>
      <c r="T36" s="64"/>
      <c r="U36" s="292"/>
      <c r="V36" s="64"/>
      <c r="W36" s="292"/>
      <c r="X36" s="296"/>
      <c r="Y36" s="69"/>
      <c r="Z36" s="296"/>
      <c r="AA36" s="69"/>
      <c r="AB36" s="296"/>
      <c r="AC36" s="304"/>
      <c r="AD36" s="292"/>
      <c r="AE36" s="304"/>
      <c r="AF36" s="292"/>
      <c r="AG36" s="304"/>
      <c r="AH36" s="64"/>
      <c r="AI36" s="64"/>
    </row>
    <row r="37" spans="1:35" ht="25.75" customHeight="1" x14ac:dyDescent="0.45">
      <c r="A37" s="316">
        <v>14</v>
      </c>
      <c r="B37" s="318" t="s">
        <v>91</v>
      </c>
      <c r="C37" s="317" t="s">
        <v>44</v>
      </c>
      <c r="D37" s="317" t="s">
        <v>121</v>
      </c>
      <c r="E37" s="323" t="s">
        <v>116</v>
      </c>
      <c r="F37" s="321">
        <v>2.1</v>
      </c>
      <c r="G37" s="64"/>
      <c r="H37" s="69"/>
      <c r="I37" s="69"/>
      <c r="J37" s="69"/>
      <c r="K37" s="69"/>
      <c r="L37" s="64"/>
      <c r="M37" s="69"/>
      <c r="N37" s="300"/>
      <c r="O37" s="292"/>
      <c r="P37" s="292"/>
      <c r="Q37" s="298"/>
      <c r="R37" s="294"/>
      <c r="T37" s="64"/>
      <c r="U37" s="292"/>
      <c r="V37" s="64"/>
      <c r="W37" s="292"/>
      <c r="X37" s="296"/>
      <c r="Y37" s="69"/>
      <c r="Z37" s="296"/>
      <c r="AA37" s="69"/>
      <c r="AB37" s="296"/>
      <c r="AC37" s="69"/>
      <c r="AD37" s="292"/>
      <c r="AE37" s="69"/>
      <c r="AF37" s="292"/>
      <c r="AG37" s="69"/>
      <c r="AH37" s="64"/>
      <c r="AI37" s="64"/>
    </row>
    <row r="38" spans="1:35" ht="25.75" customHeight="1" x14ac:dyDescent="0.45">
      <c r="A38" s="316">
        <v>15</v>
      </c>
      <c r="B38" s="318" t="s">
        <v>89</v>
      </c>
      <c r="C38" s="317" t="s">
        <v>44</v>
      </c>
      <c r="D38" s="317" t="s">
        <v>134</v>
      </c>
      <c r="E38" s="96" t="s">
        <v>114</v>
      </c>
      <c r="F38" s="321">
        <v>5.7</v>
      </c>
      <c r="G38" s="64"/>
      <c r="H38" s="69"/>
      <c r="I38" s="69"/>
      <c r="J38" s="69"/>
      <c r="K38" s="69"/>
      <c r="L38" s="64"/>
      <c r="M38" s="69"/>
      <c r="N38" s="300"/>
      <c r="O38" s="292"/>
      <c r="P38" s="292"/>
      <c r="Q38" s="298"/>
      <c r="R38" s="294"/>
      <c r="T38" s="64"/>
      <c r="U38" s="292"/>
      <c r="V38" s="64"/>
      <c r="W38" s="292"/>
      <c r="X38" s="64"/>
      <c r="Y38" s="292"/>
      <c r="Z38" s="64"/>
      <c r="AA38" s="292"/>
      <c r="AB38" s="296"/>
      <c r="AC38" s="69"/>
      <c r="AD38" s="292"/>
      <c r="AE38" s="69"/>
      <c r="AF38" s="292"/>
      <c r="AG38" s="69"/>
      <c r="AH38" s="64"/>
      <c r="AI38" s="64"/>
    </row>
    <row r="39" spans="1:35" ht="25.75" customHeight="1" x14ac:dyDescent="0.45">
      <c r="A39" s="316">
        <v>16</v>
      </c>
      <c r="B39" s="318" t="s">
        <v>42</v>
      </c>
      <c r="C39" s="317" t="s">
        <v>43</v>
      </c>
      <c r="D39" s="317" t="s">
        <v>131</v>
      </c>
      <c r="E39" s="323" t="s">
        <v>110</v>
      </c>
      <c r="F39" s="320">
        <v>7.5</v>
      </c>
      <c r="G39" s="64"/>
      <c r="H39" s="297"/>
      <c r="I39" s="69"/>
      <c r="J39" s="297"/>
      <c r="K39" s="69"/>
      <c r="L39" s="64"/>
      <c r="M39" s="69"/>
      <c r="N39" s="300"/>
      <c r="O39" s="292"/>
      <c r="P39" s="292"/>
      <c r="Q39" s="298"/>
      <c r="R39" s="294"/>
      <c r="T39" s="64"/>
      <c r="U39" s="292"/>
      <c r="V39" s="64"/>
      <c r="W39" s="292"/>
      <c r="X39" s="64"/>
      <c r="Y39" s="292"/>
      <c r="Z39" s="64"/>
      <c r="AA39" s="292"/>
      <c r="AB39" s="296"/>
      <c r="AC39" s="69"/>
      <c r="AD39" s="292"/>
      <c r="AE39" s="69"/>
      <c r="AF39" s="292"/>
      <c r="AG39" s="69"/>
      <c r="AH39" s="64"/>
      <c r="AI39" s="64"/>
    </row>
    <row r="40" spans="1:35" ht="25.75" customHeight="1" x14ac:dyDescent="0.45">
      <c r="A40" s="316">
        <v>17</v>
      </c>
      <c r="B40" s="318" t="s">
        <v>42</v>
      </c>
      <c r="C40" s="317" t="s">
        <v>46</v>
      </c>
      <c r="D40" s="317" t="s">
        <v>125</v>
      </c>
      <c r="E40" s="323" t="s">
        <v>108</v>
      </c>
      <c r="F40" s="321">
        <v>2.5</v>
      </c>
      <c r="G40" s="290"/>
      <c r="H40" s="69"/>
      <c r="I40" s="69"/>
      <c r="J40" s="69"/>
      <c r="K40" s="69"/>
      <c r="L40" s="64"/>
      <c r="M40" s="69"/>
      <c r="N40" s="300"/>
      <c r="O40" s="292"/>
      <c r="P40" s="292"/>
      <c r="Q40" s="298"/>
      <c r="R40" s="294"/>
      <c r="T40" s="64"/>
      <c r="U40" s="292"/>
      <c r="V40" s="64"/>
      <c r="W40" s="292"/>
      <c r="X40" s="64"/>
      <c r="Y40" s="292"/>
      <c r="Z40" s="64"/>
      <c r="AA40" s="292"/>
      <c r="AB40" s="296"/>
      <c r="AC40" s="69"/>
      <c r="AD40" s="292"/>
      <c r="AE40" s="69"/>
      <c r="AF40" s="292"/>
      <c r="AG40" s="69"/>
      <c r="AH40" s="64"/>
      <c r="AI40" s="64"/>
    </row>
    <row r="41" spans="1:35" ht="25.75" customHeight="1" x14ac:dyDescent="0.45">
      <c r="A41" s="316">
        <v>18</v>
      </c>
      <c r="B41" s="318" t="s">
        <v>42</v>
      </c>
      <c r="C41" s="317" t="s">
        <v>45</v>
      </c>
      <c r="D41" s="317" t="s">
        <v>127</v>
      </c>
      <c r="E41" s="96" t="s">
        <v>106</v>
      </c>
      <c r="F41" s="321">
        <v>4.2</v>
      </c>
      <c r="G41" s="64"/>
      <c r="H41" s="69"/>
      <c r="I41" s="69"/>
      <c r="J41" s="69"/>
      <c r="K41" s="69"/>
      <c r="L41" s="64"/>
      <c r="M41" s="69"/>
      <c r="N41" s="300"/>
      <c r="O41" s="292"/>
      <c r="P41" s="292"/>
      <c r="Q41" s="298"/>
      <c r="R41" s="294"/>
      <c r="T41" s="64"/>
      <c r="U41" s="292"/>
      <c r="V41" s="64"/>
      <c r="W41" s="292"/>
      <c r="X41" s="64"/>
      <c r="Y41" s="292"/>
      <c r="Z41" s="296"/>
      <c r="AA41" s="69"/>
      <c r="AB41" s="296"/>
      <c r="AC41" s="69"/>
      <c r="AD41" s="292"/>
      <c r="AE41" s="69"/>
      <c r="AF41" s="292"/>
      <c r="AG41" s="69"/>
      <c r="AH41" s="64"/>
      <c r="AI41" s="64"/>
    </row>
    <row r="42" spans="1:35" ht="25.75" customHeight="1" x14ac:dyDescent="0.45">
      <c r="A42" s="316">
        <v>19</v>
      </c>
      <c r="B42" s="318" t="s">
        <v>42</v>
      </c>
      <c r="C42" s="317" t="s">
        <v>46</v>
      </c>
      <c r="D42" s="317" t="s">
        <v>125</v>
      </c>
      <c r="E42" s="96" t="s">
        <v>102</v>
      </c>
      <c r="F42" s="321">
        <v>3</v>
      </c>
      <c r="G42" s="64"/>
      <c r="H42" s="69"/>
      <c r="I42" s="69"/>
      <c r="J42" s="69"/>
      <c r="K42" s="69"/>
      <c r="L42" s="64"/>
      <c r="M42" s="69"/>
      <c r="N42" s="300"/>
      <c r="O42" s="292"/>
      <c r="P42" s="292"/>
      <c r="Q42" s="298"/>
      <c r="R42" s="294"/>
      <c r="T42" s="64"/>
      <c r="U42" s="292"/>
      <c r="V42" s="64"/>
      <c r="W42" s="292"/>
      <c r="X42" s="64"/>
      <c r="Y42" s="292"/>
      <c r="Z42" s="296"/>
      <c r="AA42" s="69"/>
      <c r="AB42" s="296"/>
      <c r="AC42" s="69"/>
      <c r="AD42" s="292"/>
      <c r="AE42" s="69"/>
      <c r="AF42" s="292"/>
      <c r="AG42" s="69"/>
      <c r="AH42" s="64"/>
      <c r="AI42" s="64"/>
    </row>
    <row r="43" spans="1:35" ht="25.75" customHeight="1" x14ac:dyDescent="0.45">
      <c r="A43" s="316">
        <v>20</v>
      </c>
      <c r="B43" s="318" t="s">
        <v>90</v>
      </c>
      <c r="C43" s="317" t="s">
        <v>44</v>
      </c>
      <c r="D43" s="317" t="s">
        <v>121</v>
      </c>
      <c r="E43" s="324" t="s">
        <v>115</v>
      </c>
      <c r="F43" s="320">
        <v>7.9</v>
      </c>
      <c r="G43" s="64"/>
      <c r="H43" s="69"/>
      <c r="I43" s="69"/>
      <c r="J43" s="69"/>
      <c r="K43" s="69"/>
      <c r="L43" s="64"/>
      <c r="M43" s="69"/>
      <c r="N43" s="300"/>
      <c r="O43" s="292"/>
      <c r="P43" s="292"/>
      <c r="Q43" s="298"/>
      <c r="R43" s="294"/>
      <c r="T43" s="64"/>
      <c r="U43" s="292"/>
      <c r="V43" s="64"/>
      <c r="W43" s="292"/>
      <c r="X43" s="296"/>
      <c r="Y43" s="69"/>
      <c r="Z43" s="296"/>
      <c r="AA43" s="69"/>
      <c r="AB43" s="296"/>
      <c r="AC43" s="69"/>
      <c r="AD43" s="292"/>
      <c r="AE43" s="69"/>
      <c r="AF43" s="292"/>
      <c r="AG43" s="69"/>
      <c r="AH43" s="64"/>
      <c r="AI43" s="64"/>
    </row>
    <row r="44" spans="1:35" ht="25.75" customHeight="1" x14ac:dyDescent="0.45">
      <c r="A44" s="316">
        <v>21</v>
      </c>
      <c r="B44" s="318" t="s">
        <v>42</v>
      </c>
      <c r="C44" s="317" t="s">
        <v>44</v>
      </c>
      <c r="D44" s="317" t="s">
        <v>125</v>
      </c>
      <c r="E44" s="96" t="s">
        <v>103</v>
      </c>
      <c r="F44" s="321">
        <v>8.5</v>
      </c>
      <c r="G44" s="290"/>
      <c r="H44" s="297"/>
      <c r="I44" s="69"/>
      <c r="J44" s="297"/>
      <c r="K44" s="69"/>
      <c r="L44" s="64"/>
      <c r="M44" s="69"/>
      <c r="N44" s="300"/>
      <c r="O44" s="292"/>
      <c r="P44" s="292"/>
      <c r="Q44" s="298"/>
      <c r="R44" s="294"/>
      <c r="T44" s="64"/>
      <c r="U44" s="292"/>
      <c r="V44" s="64"/>
      <c r="W44" s="292"/>
      <c r="X44" s="64"/>
      <c r="Y44" s="292"/>
      <c r="Z44" s="64"/>
      <c r="AA44" s="292"/>
      <c r="AB44" s="296"/>
      <c r="AC44" s="69"/>
      <c r="AD44" s="292"/>
      <c r="AE44" s="69"/>
      <c r="AF44" s="292"/>
      <c r="AG44" s="69"/>
      <c r="AH44" s="64"/>
      <c r="AI44" s="64"/>
    </row>
    <row r="45" spans="1:35" ht="25.75" customHeight="1" x14ac:dyDescent="0.45">
      <c r="A45" s="316">
        <v>22</v>
      </c>
      <c r="B45" s="318" t="s">
        <v>39</v>
      </c>
      <c r="C45" s="317" t="s">
        <v>45</v>
      </c>
      <c r="D45" s="317" t="s">
        <v>57</v>
      </c>
      <c r="E45" s="323" t="s">
        <v>117</v>
      </c>
      <c r="F45" s="320">
        <v>3.55</v>
      </c>
      <c r="G45" s="64"/>
      <c r="H45" s="69"/>
      <c r="I45" s="69"/>
      <c r="J45" s="69"/>
      <c r="K45" s="69"/>
      <c r="L45" s="64"/>
      <c r="M45" s="69"/>
      <c r="N45" s="300"/>
      <c r="O45" s="292"/>
      <c r="P45" s="292"/>
      <c r="Q45" s="298"/>
      <c r="R45" s="294"/>
      <c r="T45" s="64"/>
      <c r="U45" s="292"/>
      <c r="V45" s="64"/>
      <c r="W45" s="292"/>
      <c r="X45" s="296"/>
      <c r="Y45" s="69"/>
      <c r="Z45" s="296"/>
      <c r="AA45" s="69"/>
      <c r="AB45" s="296"/>
      <c r="AC45" s="69"/>
      <c r="AD45" s="292"/>
      <c r="AE45" s="69"/>
      <c r="AF45" s="292"/>
      <c r="AG45" s="69"/>
      <c r="AH45" s="64"/>
      <c r="AI45" s="64"/>
    </row>
    <row r="46" spans="1:35" ht="25.75" customHeight="1" x14ac:dyDescent="0.45">
      <c r="A46" s="316">
        <v>23</v>
      </c>
      <c r="B46" s="318" t="s">
        <v>42</v>
      </c>
      <c r="C46" s="317" t="s">
        <v>95</v>
      </c>
      <c r="D46" s="317" t="s">
        <v>128</v>
      </c>
      <c r="E46" s="323" t="s">
        <v>107</v>
      </c>
      <c r="F46" s="320">
        <v>5</v>
      </c>
      <c r="G46" s="290"/>
      <c r="H46" s="297"/>
      <c r="I46" s="69"/>
      <c r="J46" s="297"/>
      <c r="K46" s="69"/>
      <c r="L46" s="64"/>
      <c r="M46" s="69"/>
      <c r="N46" s="300"/>
      <c r="O46" s="292"/>
      <c r="P46" s="292"/>
      <c r="Q46" s="298"/>
      <c r="R46" s="294"/>
      <c r="T46" s="64"/>
      <c r="U46" s="292"/>
      <c r="V46" s="64"/>
      <c r="W46" s="292"/>
      <c r="X46" s="64"/>
      <c r="Y46" s="292"/>
      <c r="Z46" s="64"/>
      <c r="AA46" s="292"/>
      <c r="AB46" s="296"/>
      <c r="AC46" s="69"/>
      <c r="AD46" s="292"/>
      <c r="AE46" s="292"/>
      <c r="AF46" s="292"/>
      <c r="AG46" s="69"/>
      <c r="AH46" s="64"/>
      <c r="AI46" s="64"/>
    </row>
    <row r="47" spans="1:35" ht="25.75" customHeight="1" x14ac:dyDescent="0.45">
      <c r="A47" s="316">
        <v>24</v>
      </c>
      <c r="B47" s="318" t="s">
        <v>41</v>
      </c>
      <c r="C47" s="317" t="s">
        <v>46</v>
      </c>
      <c r="D47" s="317" t="s">
        <v>133</v>
      </c>
      <c r="E47" s="323" t="s">
        <v>113</v>
      </c>
      <c r="F47" s="321">
        <v>4</v>
      </c>
      <c r="G47" s="290"/>
      <c r="H47" s="69"/>
      <c r="I47" s="69"/>
      <c r="J47" s="69"/>
      <c r="K47" s="69"/>
      <c r="L47" s="64"/>
      <c r="M47" s="69"/>
      <c r="N47" s="300"/>
      <c r="O47" s="292"/>
      <c r="P47" s="292"/>
      <c r="Q47" s="298"/>
      <c r="R47" s="294"/>
      <c r="T47" s="64"/>
      <c r="U47" s="292"/>
      <c r="V47" s="64"/>
      <c r="W47" s="292"/>
      <c r="X47" s="64"/>
      <c r="Y47" s="292"/>
      <c r="Z47" s="296"/>
      <c r="AA47" s="69"/>
      <c r="AB47" s="296"/>
      <c r="AC47" s="69"/>
      <c r="AD47" s="292"/>
      <c r="AE47" s="292"/>
      <c r="AF47" s="292"/>
      <c r="AG47" s="69"/>
      <c r="AH47" s="64"/>
      <c r="AI47" s="64"/>
    </row>
    <row r="48" spans="1:35" ht="25.75" customHeight="1" x14ac:dyDescent="0.45">
      <c r="A48" s="316">
        <v>25</v>
      </c>
      <c r="B48" s="316" t="s">
        <v>87</v>
      </c>
      <c r="C48" s="317" t="s">
        <v>94</v>
      </c>
      <c r="D48" s="317" t="s">
        <v>94</v>
      </c>
      <c r="E48" s="96" t="s">
        <v>111</v>
      </c>
      <c r="F48" s="321">
        <v>8</v>
      </c>
      <c r="G48" s="64"/>
      <c r="H48" s="69"/>
      <c r="I48" s="69"/>
      <c r="J48" s="69"/>
      <c r="K48" s="69"/>
      <c r="L48" s="64"/>
      <c r="M48" s="69"/>
      <c r="N48" s="300"/>
      <c r="O48" s="292"/>
      <c r="P48" s="292"/>
      <c r="Q48" s="298"/>
      <c r="R48" s="294"/>
      <c r="T48" s="64"/>
      <c r="U48" s="292"/>
      <c r="V48" s="64"/>
      <c r="W48" s="292"/>
      <c r="X48" s="64"/>
      <c r="Y48" s="292"/>
      <c r="Z48" s="64"/>
      <c r="AA48" s="292"/>
      <c r="AB48" s="296"/>
      <c r="AC48" s="69"/>
      <c r="AD48" s="292"/>
      <c r="AE48" s="292"/>
      <c r="AF48" s="292"/>
      <c r="AG48" s="69"/>
      <c r="AH48" s="64"/>
      <c r="AI48" s="64"/>
    </row>
    <row r="49" spans="1:35" ht="25.75" customHeight="1" x14ac:dyDescent="0.45">
      <c r="A49" s="316">
        <v>26</v>
      </c>
      <c r="B49" s="318" t="s">
        <v>42</v>
      </c>
      <c r="C49" s="317" t="s">
        <v>46</v>
      </c>
      <c r="D49" s="317" t="s">
        <v>125</v>
      </c>
      <c r="E49" s="96" t="s">
        <v>104</v>
      </c>
      <c r="F49" s="320">
        <v>3.05</v>
      </c>
      <c r="G49" s="64"/>
      <c r="H49" s="297"/>
      <c r="I49" s="69"/>
      <c r="J49" s="297"/>
      <c r="K49" s="69"/>
      <c r="L49" s="64"/>
      <c r="M49" s="69"/>
      <c r="N49" s="300"/>
      <c r="O49" s="292"/>
      <c r="P49" s="292"/>
      <c r="Q49" s="298"/>
      <c r="R49" s="294"/>
      <c r="T49" s="64"/>
      <c r="U49" s="292"/>
      <c r="V49" s="64"/>
      <c r="W49" s="292"/>
      <c r="X49" s="64"/>
      <c r="Y49" s="292"/>
      <c r="Z49" s="64"/>
      <c r="AA49" s="292"/>
      <c r="AB49" s="296"/>
      <c r="AC49" s="69"/>
      <c r="AD49" s="292"/>
      <c r="AE49" s="292"/>
      <c r="AF49" s="292"/>
      <c r="AG49" s="69"/>
      <c r="AH49" s="64"/>
      <c r="AI49" s="64"/>
    </row>
    <row r="50" spans="1:35" ht="25.75" customHeight="1" x14ac:dyDescent="0.45">
      <c r="A50" s="316">
        <v>27</v>
      </c>
      <c r="B50" s="318" t="s">
        <v>155</v>
      </c>
      <c r="C50" s="317" t="s">
        <v>44</v>
      </c>
      <c r="D50" s="317" t="s">
        <v>156</v>
      </c>
      <c r="E50" s="96" t="s">
        <v>157</v>
      </c>
      <c r="F50" s="320">
        <v>2.5</v>
      </c>
      <c r="G50" s="64"/>
      <c r="H50" s="297"/>
      <c r="I50" s="69"/>
      <c r="J50" s="297"/>
      <c r="K50" s="69"/>
      <c r="L50" s="64"/>
      <c r="M50" s="69"/>
      <c r="N50" s="300"/>
      <c r="O50" s="292"/>
      <c r="P50" s="292"/>
      <c r="Q50" s="298"/>
      <c r="R50" s="294"/>
      <c r="T50" s="64"/>
      <c r="U50" s="292"/>
      <c r="V50" s="64"/>
      <c r="W50" s="292"/>
      <c r="X50" s="64"/>
      <c r="Y50" s="292"/>
      <c r="Z50" s="64"/>
      <c r="AA50" s="292"/>
      <c r="AB50" s="296"/>
      <c r="AC50" s="69"/>
      <c r="AD50" s="292"/>
      <c r="AE50" s="292"/>
      <c r="AF50" s="292"/>
      <c r="AG50" s="69"/>
      <c r="AH50" s="64"/>
      <c r="AI50" s="64"/>
    </row>
    <row r="51" spans="1:35" ht="25.75" customHeight="1" x14ac:dyDescent="0.45">
      <c r="A51" s="316">
        <v>28</v>
      </c>
      <c r="B51" s="318" t="s">
        <v>155</v>
      </c>
      <c r="C51" s="317" t="s">
        <v>95</v>
      </c>
      <c r="D51" s="317" t="s">
        <v>128</v>
      </c>
      <c r="E51" s="96" t="s">
        <v>163</v>
      </c>
      <c r="F51" s="320">
        <v>5</v>
      </c>
      <c r="G51" s="64"/>
      <c r="H51" s="297"/>
      <c r="I51" s="69"/>
      <c r="J51" s="297"/>
      <c r="K51" s="69"/>
      <c r="L51" s="64"/>
      <c r="M51" s="69"/>
      <c r="N51" s="300"/>
      <c r="O51" s="292"/>
      <c r="P51" s="292"/>
      <c r="Q51" s="298"/>
      <c r="R51" s="294"/>
      <c r="T51" s="64"/>
      <c r="U51" s="292"/>
      <c r="V51" s="64"/>
      <c r="W51" s="292"/>
      <c r="X51" s="64"/>
      <c r="Y51" s="292"/>
      <c r="Z51" s="64"/>
      <c r="AA51" s="292"/>
      <c r="AB51" s="296"/>
      <c r="AC51" s="69"/>
      <c r="AD51" s="292"/>
      <c r="AE51" s="292"/>
      <c r="AF51" s="292"/>
      <c r="AG51" s="69"/>
      <c r="AH51" s="64"/>
      <c r="AI51" s="64"/>
    </row>
    <row r="52" spans="1:35" ht="25.75" customHeight="1" x14ac:dyDescent="0.35">
      <c r="A52" s="82"/>
      <c r="B52" s="325"/>
      <c r="C52" s="326"/>
      <c r="D52" s="326"/>
      <c r="E52" s="340" t="s">
        <v>158</v>
      </c>
      <c r="F52" s="341">
        <f>SUM(F24:F51)</f>
        <v>131.05000000000001</v>
      </c>
      <c r="G52" s="64"/>
      <c r="H52" s="297"/>
      <c r="I52" s="69"/>
      <c r="J52" s="297"/>
      <c r="K52" s="69"/>
      <c r="L52" s="64"/>
      <c r="M52" s="69"/>
      <c r="N52" s="300"/>
      <c r="O52" s="292"/>
      <c r="P52" s="292"/>
      <c r="Q52" s="298"/>
      <c r="R52" s="294"/>
      <c r="T52" s="64"/>
      <c r="U52" s="292"/>
      <c r="V52" s="64"/>
      <c r="W52" s="292"/>
      <c r="X52" s="64"/>
      <c r="Y52" s="292"/>
      <c r="Z52" s="64"/>
      <c r="AA52" s="292"/>
      <c r="AB52" s="296"/>
      <c r="AC52" s="69"/>
      <c r="AD52" s="292"/>
      <c r="AE52" s="292"/>
      <c r="AF52" s="292"/>
      <c r="AG52" s="69"/>
      <c r="AH52" s="64"/>
      <c r="AI52" s="64"/>
    </row>
    <row r="53" spans="1:35" ht="22.25" customHeight="1" x14ac:dyDescent="0.3">
      <c r="A53" s="64"/>
      <c r="B53" s="64"/>
      <c r="C53" s="64"/>
      <c r="D53" s="64"/>
      <c r="E53" s="314"/>
      <c r="F53" s="64"/>
      <c r="G53" s="64"/>
      <c r="H53" s="64"/>
      <c r="I53" s="288"/>
      <c r="J53" s="64"/>
      <c r="K53" s="64"/>
      <c r="L53" s="64"/>
      <c r="M53" s="64"/>
      <c r="N53" s="64"/>
      <c r="O53" s="64"/>
      <c r="P53" s="64"/>
      <c r="Q53" s="64"/>
      <c r="R53" s="289"/>
      <c r="S53" s="305"/>
      <c r="T53" s="64"/>
      <c r="U53" s="64"/>
      <c r="V53" s="296"/>
      <c r="W53" s="306"/>
      <c r="X53" s="296"/>
      <c r="Y53" s="291"/>
      <c r="Z53" s="296"/>
      <c r="AA53" s="291"/>
      <c r="AB53" s="296"/>
      <c r="AC53" s="292"/>
      <c r="AD53" s="292"/>
      <c r="AE53" s="292"/>
      <c r="AF53" s="292"/>
      <c r="AG53" s="292"/>
      <c r="AH53" s="307"/>
      <c r="AI53" s="307"/>
    </row>
    <row r="54" spans="1:35" x14ac:dyDescent="0.3">
      <c r="A54" s="64"/>
      <c r="B54" s="64"/>
      <c r="C54" s="64"/>
      <c r="D54" s="64"/>
      <c r="E54" s="314"/>
      <c r="F54" s="64"/>
      <c r="G54" s="64"/>
      <c r="H54" s="64"/>
      <c r="I54" s="288"/>
      <c r="J54" s="64"/>
      <c r="K54" s="64"/>
      <c r="L54" s="64"/>
      <c r="M54" s="64"/>
      <c r="N54" s="64"/>
      <c r="O54" s="64"/>
      <c r="P54" s="64"/>
      <c r="Q54" s="64"/>
      <c r="R54" s="289"/>
      <c r="S54" s="305"/>
      <c r="T54" s="296"/>
      <c r="U54" s="64"/>
      <c r="V54" s="64"/>
      <c r="W54" s="64"/>
      <c r="X54" s="64"/>
      <c r="Y54" s="64"/>
      <c r="Z54" s="64"/>
      <c r="AA54" s="64"/>
      <c r="AB54" s="296"/>
      <c r="AC54" s="292"/>
      <c r="AD54" s="292"/>
      <c r="AE54" s="292"/>
      <c r="AF54" s="292"/>
      <c r="AG54" s="292"/>
      <c r="AH54" s="307"/>
      <c r="AI54" s="307"/>
    </row>
    <row r="55" spans="1:35" x14ac:dyDescent="0.3">
      <c r="A55" s="64"/>
      <c r="B55" s="64"/>
      <c r="C55" s="64"/>
      <c r="D55" s="64"/>
      <c r="E55" s="314"/>
      <c r="F55" s="64"/>
      <c r="G55" s="64"/>
      <c r="H55" s="64"/>
      <c r="I55" s="288"/>
      <c r="J55" s="64"/>
      <c r="K55" s="64"/>
      <c r="L55" s="64"/>
      <c r="M55" s="64"/>
      <c r="N55" s="64"/>
      <c r="O55" s="64"/>
      <c r="P55" s="64"/>
      <c r="Q55" s="64"/>
      <c r="R55" s="289"/>
      <c r="S55" s="305"/>
      <c r="T55" s="289"/>
      <c r="U55" s="308"/>
      <c r="V55" s="289"/>
      <c r="W55" s="292"/>
      <c r="X55" s="289"/>
      <c r="Y55" s="292"/>
      <c r="Z55" s="289"/>
      <c r="AA55" s="292"/>
      <c r="AB55" s="289"/>
      <c r="AC55" s="292"/>
      <c r="AD55" s="292"/>
      <c r="AE55" s="292"/>
      <c r="AF55" s="292"/>
      <c r="AG55" s="292"/>
      <c r="AH55" s="307"/>
      <c r="AI55" s="307"/>
    </row>
    <row r="56" spans="1:35" x14ac:dyDescent="0.4">
      <c r="G56" s="64"/>
      <c r="H56" s="64"/>
      <c r="I56" s="288"/>
      <c r="J56" s="64"/>
      <c r="K56" s="64"/>
      <c r="L56" s="64"/>
      <c r="M56" s="64"/>
      <c r="N56" s="64"/>
      <c r="O56" s="64"/>
      <c r="P56" s="64"/>
      <c r="Q56" s="64"/>
      <c r="R56" s="289"/>
      <c r="S56" s="305"/>
      <c r="T56" s="307"/>
      <c r="U56" s="309"/>
      <c r="V56" s="309"/>
      <c r="W56" s="309"/>
      <c r="X56" s="309"/>
      <c r="Y56" s="309"/>
      <c r="Z56" s="309"/>
      <c r="AA56" s="309"/>
      <c r="AB56" s="309"/>
      <c r="AC56" s="309"/>
      <c r="AD56" s="309"/>
      <c r="AE56" s="309"/>
      <c r="AF56" s="309"/>
      <c r="AG56" s="309"/>
      <c r="AH56" s="307"/>
      <c r="AI56" s="310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AH51"/>
  <sheetViews>
    <sheetView zoomScale="70" zoomScaleNormal="70" workbookViewId="0">
      <pane xSplit="13" ySplit="7" topLeftCell="N8" activePane="bottomRight" state="frozen"/>
      <selection pane="topRight" activeCell="N1" sqref="N1"/>
      <selection pane="bottomLeft" activeCell="A8" sqref="A8"/>
      <selection pane="bottomRight" activeCell="E9" sqref="E9"/>
    </sheetView>
  </sheetViews>
  <sheetFormatPr defaultColWidth="8.81640625" defaultRowHeight="14" x14ac:dyDescent="0.3"/>
  <cols>
    <col min="1" max="1" width="3.90625" style="1" customWidth="1"/>
    <col min="2" max="2" width="11.6328125" style="1" customWidth="1"/>
    <col min="3" max="3" width="11.1796875" style="1" customWidth="1"/>
    <col min="4" max="4" width="17.81640625" style="1" customWidth="1"/>
    <col min="5" max="5" width="40.36328125" style="1" customWidth="1"/>
    <col min="6" max="6" width="11.1796875" style="1" customWidth="1"/>
    <col min="7" max="7" width="12.6328125" style="1" customWidth="1"/>
    <col min="8" max="8" width="12.1796875" style="1" customWidth="1"/>
    <col min="9" max="9" width="12.08984375" style="14" customWidth="1"/>
    <col min="10" max="13" width="10.36328125" style="1" customWidth="1"/>
    <col min="14" max="14" width="11.54296875" style="1" bestFit="1" customWidth="1"/>
    <col min="15" max="15" width="12.6328125" style="1" customWidth="1"/>
    <col min="16" max="16" width="8.81640625" style="1"/>
    <col min="17" max="17" width="11" style="1" customWidth="1"/>
    <col min="18" max="18" width="13.08984375" style="6" customWidth="1"/>
    <col min="19" max="32" width="9.90625" style="1" customWidth="1"/>
    <col min="33" max="33" width="19" style="1" customWidth="1"/>
    <col min="34" max="34" width="12.54296875" style="1" customWidth="1"/>
    <col min="35" max="16384" width="8.81640625" style="1"/>
  </cols>
  <sheetData>
    <row r="1" spans="1:34" x14ac:dyDescent="0.3">
      <c r="L1" s="1">
        <f>((3.14*2^2)/4)/2</f>
        <v>1.57</v>
      </c>
    </row>
    <row r="2" spans="1:34" ht="14" customHeight="1" x14ac:dyDescent="0.3">
      <c r="A2" s="482" t="s">
        <v>33</v>
      </c>
      <c r="B2" s="482" t="s">
        <v>34</v>
      </c>
      <c r="C2" s="485" t="s">
        <v>0</v>
      </c>
      <c r="D2" s="486" t="s">
        <v>1</v>
      </c>
      <c r="E2" s="486" t="s">
        <v>2</v>
      </c>
      <c r="F2" s="478" t="s">
        <v>3</v>
      </c>
      <c r="G2" s="478"/>
      <c r="H2" s="481" t="s">
        <v>26</v>
      </c>
      <c r="I2" s="481"/>
      <c r="J2" s="469" t="s">
        <v>27</v>
      </c>
      <c r="K2" s="469" t="s">
        <v>28</v>
      </c>
      <c r="L2" s="474" t="s">
        <v>32</v>
      </c>
      <c r="M2" s="471" t="s">
        <v>6</v>
      </c>
      <c r="N2" s="501" t="s">
        <v>29</v>
      </c>
      <c r="O2" s="502" t="s">
        <v>30</v>
      </c>
      <c r="P2" s="477" t="s">
        <v>136</v>
      </c>
      <c r="Q2" s="470" t="s">
        <v>9</v>
      </c>
      <c r="R2" s="470"/>
      <c r="S2" s="503" t="s">
        <v>31</v>
      </c>
      <c r="T2" s="504"/>
      <c r="U2" s="504"/>
      <c r="V2" s="504"/>
      <c r="W2" s="504"/>
      <c r="X2" s="504"/>
      <c r="Y2" s="504"/>
      <c r="Z2" s="504"/>
      <c r="AA2" s="504"/>
      <c r="AB2" s="504"/>
      <c r="AC2" s="504"/>
      <c r="AD2" s="504"/>
      <c r="AE2" s="504"/>
      <c r="AF2" s="504"/>
      <c r="AG2" s="504"/>
      <c r="AH2" s="505"/>
    </row>
    <row r="3" spans="1:34" x14ac:dyDescent="0.3">
      <c r="A3" s="483"/>
      <c r="B3" s="483"/>
      <c r="C3" s="485"/>
      <c r="D3" s="486"/>
      <c r="E3" s="486"/>
      <c r="F3" s="478"/>
      <c r="G3" s="478"/>
      <c r="H3" s="481"/>
      <c r="I3" s="481"/>
      <c r="J3" s="469"/>
      <c r="K3" s="469"/>
      <c r="L3" s="475"/>
      <c r="M3" s="471"/>
      <c r="N3" s="501"/>
      <c r="O3" s="502"/>
      <c r="P3" s="477"/>
      <c r="Q3" s="470"/>
      <c r="R3" s="470"/>
      <c r="S3" s="495" t="s">
        <v>21</v>
      </c>
      <c r="T3" s="495"/>
      <c r="U3" s="495"/>
      <c r="V3" s="495"/>
      <c r="W3" s="496" t="s">
        <v>22</v>
      </c>
      <c r="X3" s="496"/>
      <c r="Y3" s="496"/>
      <c r="Z3" s="496"/>
      <c r="AA3" s="500" t="s">
        <v>19</v>
      </c>
      <c r="AB3" s="500"/>
      <c r="AC3" s="500"/>
      <c r="AD3" s="500"/>
      <c r="AE3" s="500"/>
      <c r="AF3" s="500"/>
      <c r="AG3" s="75"/>
      <c r="AH3" s="76"/>
    </row>
    <row r="4" spans="1:34" x14ac:dyDescent="0.3">
      <c r="A4" s="483"/>
      <c r="B4" s="483"/>
      <c r="C4" s="485"/>
      <c r="D4" s="486"/>
      <c r="E4" s="486"/>
      <c r="F4" s="479" t="s">
        <v>4</v>
      </c>
      <c r="G4" s="479" t="s">
        <v>5</v>
      </c>
      <c r="H4" s="480" t="s">
        <v>7</v>
      </c>
      <c r="I4" s="16" t="s">
        <v>14</v>
      </c>
      <c r="J4" s="469"/>
      <c r="K4" s="469"/>
      <c r="L4" s="475"/>
      <c r="M4" s="471"/>
      <c r="N4" s="501"/>
      <c r="O4" s="502"/>
      <c r="P4" s="477"/>
      <c r="Q4" s="472" t="s">
        <v>10</v>
      </c>
      <c r="R4" s="473" t="s">
        <v>11</v>
      </c>
      <c r="S4" s="506">
        <v>2021</v>
      </c>
      <c r="T4" s="507"/>
      <c r="U4" s="506">
        <v>2022</v>
      </c>
      <c r="V4" s="507"/>
      <c r="W4" s="491">
        <v>2023</v>
      </c>
      <c r="X4" s="492"/>
      <c r="Y4" s="491">
        <v>2024</v>
      </c>
      <c r="Z4" s="492"/>
      <c r="AA4" s="491">
        <v>2025</v>
      </c>
      <c r="AB4" s="492"/>
      <c r="AC4" s="497">
        <v>2026</v>
      </c>
      <c r="AD4" s="498"/>
      <c r="AE4" s="497">
        <v>2027</v>
      </c>
      <c r="AF4" s="498"/>
      <c r="AG4" s="491" t="s">
        <v>11</v>
      </c>
      <c r="AH4" s="492"/>
    </row>
    <row r="5" spans="1:34" x14ac:dyDescent="0.3">
      <c r="A5" s="483"/>
      <c r="B5" s="483"/>
      <c r="C5" s="485"/>
      <c r="D5" s="486"/>
      <c r="E5" s="486"/>
      <c r="F5" s="479"/>
      <c r="G5" s="479"/>
      <c r="H5" s="480"/>
      <c r="I5" s="17" t="s">
        <v>15</v>
      </c>
      <c r="J5" s="469"/>
      <c r="K5" s="469"/>
      <c r="L5" s="475"/>
      <c r="M5" s="471"/>
      <c r="N5" s="501"/>
      <c r="O5" s="502"/>
      <c r="P5" s="477"/>
      <c r="Q5" s="472"/>
      <c r="R5" s="473"/>
      <c r="S5" s="508"/>
      <c r="T5" s="509"/>
      <c r="U5" s="508"/>
      <c r="V5" s="509"/>
      <c r="W5" s="493"/>
      <c r="X5" s="494"/>
      <c r="Y5" s="493"/>
      <c r="Z5" s="494"/>
      <c r="AA5" s="493"/>
      <c r="AB5" s="494"/>
      <c r="AC5" s="493"/>
      <c r="AD5" s="494"/>
      <c r="AE5" s="493"/>
      <c r="AF5" s="494"/>
      <c r="AG5" s="493"/>
      <c r="AH5" s="494"/>
    </row>
    <row r="6" spans="1:34" ht="14.5" customHeight="1" x14ac:dyDescent="0.3">
      <c r="A6" s="483"/>
      <c r="B6" s="483"/>
      <c r="C6" s="485"/>
      <c r="D6" s="486"/>
      <c r="E6" s="486"/>
      <c r="F6" s="479"/>
      <c r="G6" s="479"/>
      <c r="H6" s="480"/>
      <c r="I6" s="18" t="s">
        <v>16</v>
      </c>
      <c r="J6" s="469"/>
      <c r="K6" s="469"/>
      <c r="L6" s="475"/>
      <c r="M6" s="471"/>
      <c r="N6" s="501"/>
      <c r="O6" s="502"/>
      <c r="P6" s="477"/>
      <c r="Q6" s="472"/>
      <c r="R6" s="473"/>
      <c r="S6" s="487" t="s">
        <v>12</v>
      </c>
      <c r="T6" s="487" t="s">
        <v>13</v>
      </c>
      <c r="U6" s="487" t="s">
        <v>12</v>
      </c>
      <c r="V6" s="487" t="s">
        <v>13</v>
      </c>
      <c r="W6" s="487" t="s">
        <v>12</v>
      </c>
      <c r="X6" s="487" t="s">
        <v>13</v>
      </c>
      <c r="Y6" s="487" t="s">
        <v>12</v>
      </c>
      <c r="Z6" s="487" t="s">
        <v>13</v>
      </c>
      <c r="AA6" s="487" t="s">
        <v>12</v>
      </c>
      <c r="AB6" s="489" t="s">
        <v>13</v>
      </c>
      <c r="AC6" s="487" t="s">
        <v>12</v>
      </c>
      <c r="AD6" s="489" t="s">
        <v>13</v>
      </c>
      <c r="AE6" s="487" t="s">
        <v>12</v>
      </c>
      <c r="AF6" s="489" t="s">
        <v>13</v>
      </c>
      <c r="AG6" s="487" t="s">
        <v>12</v>
      </c>
      <c r="AH6" s="487" t="s">
        <v>13</v>
      </c>
    </row>
    <row r="7" spans="1:34" ht="19.5" customHeight="1" x14ac:dyDescent="0.3">
      <c r="A7" s="484"/>
      <c r="B7" s="484"/>
      <c r="C7" s="485"/>
      <c r="D7" s="486"/>
      <c r="E7" s="486"/>
      <c r="F7" s="479"/>
      <c r="G7" s="479"/>
      <c r="H7" s="480"/>
      <c r="I7" s="13"/>
      <c r="J7" s="469"/>
      <c r="K7" s="469"/>
      <c r="L7" s="476"/>
      <c r="M7" s="471"/>
      <c r="N7" s="501"/>
      <c r="O7" s="502"/>
      <c r="P7" s="477"/>
      <c r="Q7" s="472"/>
      <c r="R7" s="473"/>
      <c r="S7" s="488"/>
      <c r="T7" s="488"/>
      <c r="U7" s="488"/>
      <c r="V7" s="488"/>
      <c r="W7" s="488"/>
      <c r="X7" s="488"/>
      <c r="Y7" s="488"/>
      <c r="Z7" s="488"/>
      <c r="AA7" s="488"/>
      <c r="AB7" s="490"/>
      <c r="AC7" s="488"/>
      <c r="AD7" s="490"/>
      <c r="AE7" s="488"/>
      <c r="AF7" s="490"/>
      <c r="AG7" s="488"/>
      <c r="AH7" s="488"/>
    </row>
    <row r="8" spans="1:34" ht="14.5" x14ac:dyDescent="0.35">
      <c r="A8" s="19">
        <v>1</v>
      </c>
      <c r="B8" s="20" t="s">
        <v>35</v>
      </c>
      <c r="C8" s="2" t="s">
        <v>43</v>
      </c>
      <c r="D8" s="2" t="s">
        <v>47</v>
      </c>
      <c r="E8" s="26" t="s">
        <v>63</v>
      </c>
      <c r="F8" s="79"/>
      <c r="G8" s="78"/>
      <c r="H8" s="2" t="s">
        <v>82</v>
      </c>
      <c r="I8" s="32" t="s">
        <v>85</v>
      </c>
      <c r="J8" s="20">
        <v>1924</v>
      </c>
      <c r="K8" s="20">
        <v>52.84</v>
      </c>
      <c r="L8" s="15">
        <f>(M8*2)+$L$1</f>
        <v>15.57</v>
      </c>
      <c r="M8" s="20">
        <v>7</v>
      </c>
      <c r="N8" s="3"/>
      <c r="O8" s="3"/>
      <c r="P8" s="9"/>
      <c r="Q8" s="39"/>
      <c r="R8" s="12"/>
      <c r="S8" s="67"/>
      <c r="T8" s="32">
        <v>7</v>
      </c>
      <c r="U8" s="68"/>
      <c r="V8" s="35">
        <v>7</v>
      </c>
      <c r="W8" s="68"/>
      <c r="X8" s="35">
        <v>7</v>
      </c>
      <c r="Y8" s="68"/>
      <c r="Z8" s="35">
        <v>7</v>
      </c>
      <c r="AA8" s="68"/>
      <c r="AB8" s="32">
        <v>7</v>
      </c>
      <c r="AC8" s="5"/>
      <c r="AD8" s="35">
        <v>7</v>
      </c>
      <c r="AE8" s="5"/>
      <c r="AF8" s="35">
        <v>7</v>
      </c>
      <c r="AG8" s="2"/>
      <c r="AH8" s="2"/>
    </row>
    <row r="9" spans="1:34" ht="14.5" x14ac:dyDescent="0.35">
      <c r="A9" s="21">
        <v>2</v>
      </c>
      <c r="B9" s="22" t="s">
        <v>36</v>
      </c>
      <c r="C9" s="2" t="s">
        <v>43</v>
      </c>
      <c r="D9" s="2" t="s">
        <v>48</v>
      </c>
      <c r="E9" s="27" t="s">
        <v>64</v>
      </c>
      <c r="F9" s="78"/>
      <c r="G9" s="78"/>
      <c r="H9" s="2" t="s">
        <v>82</v>
      </c>
      <c r="I9" s="33" t="s">
        <v>85</v>
      </c>
      <c r="J9" s="36">
        <f>1210+1260+902</f>
        <v>3372</v>
      </c>
      <c r="K9" s="36">
        <f>71.5+36.38</f>
        <v>107.88</v>
      </c>
      <c r="L9" s="15">
        <f>(M9*2)+$L$1</f>
        <v>14.57</v>
      </c>
      <c r="M9" s="25">
        <v>6.5</v>
      </c>
      <c r="N9" s="3"/>
      <c r="O9" s="3"/>
      <c r="P9" s="9"/>
      <c r="Q9" s="40"/>
      <c r="R9" s="12"/>
      <c r="S9" s="67"/>
      <c r="T9" s="33">
        <v>6.5</v>
      </c>
      <c r="U9" s="68"/>
      <c r="V9" s="38">
        <v>6.5</v>
      </c>
      <c r="W9" s="68"/>
      <c r="X9" s="38">
        <v>6.5</v>
      </c>
      <c r="Y9" s="68"/>
      <c r="Z9" s="38">
        <v>6.5</v>
      </c>
      <c r="AA9" s="68"/>
      <c r="AB9" s="33">
        <v>6.5</v>
      </c>
      <c r="AC9" s="5"/>
      <c r="AD9" s="38">
        <v>6.5</v>
      </c>
      <c r="AE9" s="5"/>
      <c r="AF9" s="38">
        <v>6.5</v>
      </c>
      <c r="AG9" s="2"/>
      <c r="AH9" s="2"/>
    </row>
    <row r="10" spans="1:34" ht="14.5" x14ac:dyDescent="0.35">
      <c r="A10" s="23">
        <v>3</v>
      </c>
      <c r="B10" s="24" t="s">
        <v>37</v>
      </c>
      <c r="C10" s="2" t="s">
        <v>44</v>
      </c>
      <c r="D10" s="2" t="s">
        <v>49</v>
      </c>
      <c r="E10" s="27" t="s">
        <v>65</v>
      </c>
      <c r="F10" s="78"/>
      <c r="G10" s="78"/>
      <c r="H10" s="2" t="s">
        <v>82</v>
      </c>
      <c r="I10" s="33" t="s">
        <v>85</v>
      </c>
      <c r="J10" s="25">
        <v>1029</v>
      </c>
      <c r="K10" s="25">
        <v>23.18</v>
      </c>
      <c r="L10" s="15">
        <f t="shared" ref="L10:L25" si="0">(M10*2)+$L$1</f>
        <v>22.57</v>
      </c>
      <c r="M10" s="25">
        <v>10.5</v>
      </c>
      <c r="N10" s="3"/>
      <c r="O10" s="3"/>
      <c r="P10" s="9"/>
      <c r="Q10" s="40"/>
      <c r="R10" s="12"/>
      <c r="S10" s="67"/>
      <c r="T10" s="33">
        <v>10.5</v>
      </c>
      <c r="U10" s="68"/>
      <c r="V10" s="38">
        <v>10.5</v>
      </c>
      <c r="W10" s="68"/>
      <c r="X10" s="38">
        <v>10.5</v>
      </c>
      <c r="Y10" s="68"/>
      <c r="Z10" s="38">
        <v>10.5</v>
      </c>
      <c r="AA10" s="68"/>
      <c r="AB10" s="33">
        <v>10.5</v>
      </c>
      <c r="AC10" s="5"/>
      <c r="AD10" s="38">
        <v>10.5</v>
      </c>
      <c r="AE10" s="5"/>
      <c r="AF10" s="38">
        <v>10.5</v>
      </c>
      <c r="AG10" s="2"/>
      <c r="AH10" s="2"/>
    </row>
    <row r="11" spans="1:34" ht="14.5" x14ac:dyDescent="0.35">
      <c r="A11" s="21">
        <v>4</v>
      </c>
      <c r="B11" s="25" t="s">
        <v>38</v>
      </c>
      <c r="C11" s="2" t="s">
        <v>45</v>
      </c>
      <c r="D11" s="2" t="s">
        <v>50</v>
      </c>
      <c r="E11" s="27" t="s">
        <v>66</v>
      </c>
      <c r="F11" s="78"/>
      <c r="G11" s="78"/>
      <c r="H11" s="2" t="s">
        <v>137</v>
      </c>
      <c r="I11" s="34" t="s">
        <v>8</v>
      </c>
      <c r="J11" s="36">
        <f>1210+1260+902</f>
        <v>3372</v>
      </c>
      <c r="K11" s="36">
        <f>71.5+36.38</f>
        <v>107.88</v>
      </c>
      <c r="L11" s="15">
        <f t="shared" si="0"/>
        <v>6.57</v>
      </c>
      <c r="M11" s="25">
        <v>2.5</v>
      </c>
      <c r="N11" s="3"/>
      <c r="O11" s="3"/>
      <c r="P11" s="9"/>
      <c r="Q11" s="41"/>
      <c r="R11" s="12"/>
      <c r="S11" s="67"/>
      <c r="T11" s="34">
        <v>2.5</v>
      </c>
      <c r="U11" s="68"/>
      <c r="V11" s="38">
        <v>2.5</v>
      </c>
      <c r="W11" s="68"/>
      <c r="X11" s="38">
        <v>2.5</v>
      </c>
      <c r="Y11" s="68"/>
      <c r="Z11" s="38">
        <v>2.5</v>
      </c>
      <c r="AA11" s="68"/>
      <c r="AB11" s="33">
        <v>2.5</v>
      </c>
      <c r="AC11" s="5"/>
      <c r="AD11" s="38">
        <v>2.5</v>
      </c>
      <c r="AE11" s="5"/>
      <c r="AF11" s="38">
        <v>2.5</v>
      </c>
      <c r="AG11" s="2"/>
      <c r="AH11" s="2"/>
    </row>
    <row r="12" spans="1:34" ht="14.5" x14ac:dyDescent="0.35">
      <c r="A12" s="23">
        <v>5</v>
      </c>
      <c r="B12" s="25" t="s">
        <v>38</v>
      </c>
      <c r="C12" s="2" t="s">
        <v>45</v>
      </c>
      <c r="D12" s="2" t="s">
        <v>51</v>
      </c>
      <c r="E12" s="27" t="s">
        <v>67</v>
      </c>
      <c r="F12" s="78"/>
      <c r="G12" s="78"/>
      <c r="H12" s="2" t="s">
        <v>83</v>
      </c>
      <c r="I12" s="34" t="s">
        <v>8</v>
      </c>
      <c r="J12" s="36">
        <f>1210+1260+902</f>
        <v>3372</v>
      </c>
      <c r="K12" s="36">
        <f>71.5+36.38</f>
        <v>107.88</v>
      </c>
      <c r="L12" s="15">
        <f t="shared" si="0"/>
        <v>3.5700000000000003</v>
      </c>
      <c r="M12" s="25">
        <v>1</v>
      </c>
      <c r="N12" s="3"/>
      <c r="O12" s="3"/>
      <c r="P12" s="9"/>
      <c r="Q12" s="41"/>
      <c r="R12" s="12"/>
      <c r="S12" s="67"/>
      <c r="T12" s="34">
        <v>1</v>
      </c>
      <c r="U12" s="68"/>
      <c r="V12" s="38">
        <v>1</v>
      </c>
      <c r="W12" s="68"/>
      <c r="X12" s="38">
        <v>1</v>
      </c>
      <c r="Y12" s="68"/>
      <c r="Z12" s="38">
        <v>1</v>
      </c>
      <c r="AA12" s="68"/>
      <c r="AB12" s="33">
        <v>1</v>
      </c>
      <c r="AC12" s="5"/>
      <c r="AD12" s="38">
        <v>1</v>
      </c>
      <c r="AE12" s="5"/>
      <c r="AF12" s="38">
        <v>1</v>
      </c>
      <c r="AG12" s="2"/>
      <c r="AH12" s="2"/>
    </row>
    <row r="13" spans="1:34" ht="14.5" x14ac:dyDescent="0.35">
      <c r="A13" s="21">
        <v>6</v>
      </c>
      <c r="B13" s="25" t="s">
        <v>39</v>
      </c>
      <c r="C13" s="2" t="s">
        <v>45</v>
      </c>
      <c r="D13" s="2" t="s">
        <v>52</v>
      </c>
      <c r="E13" s="27" t="s">
        <v>68</v>
      </c>
      <c r="F13" s="78"/>
      <c r="G13" s="78"/>
      <c r="H13" s="2" t="s">
        <v>83</v>
      </c>
      <c r="I13" s="34" t="s">
        <v>8</v>
      </c>
      <c r="J13" s="36">
        <f>1210+1260+902</f>
        <v>3372</v>
      </c>
      <c r="K13" s="36">
        <f>71.5+36.38</f>
        <v>107.88</v>
      </c>
      <c r="L13" s="15">
        <f t="shared" si="0"/>
        <v>15.57</v>
      </c>
      <c r="M13" s="25">
        <v>7</v>
      </c>
      <c r="N13" s="3"/>
      <c r="O13" s="3"/>
      <c r="P13" s="9"/>
      <c r="Q13" s="41"/>
      <c r="R13" s="12"/>
      <c r="S13" s="67"/>
      <c r="T13" s="34">
        <v>7</v>
      </c>
      <c r="U13" s="68"/>
      <c r="V13" s="38">
        <v>7</v>
      </c>
      <c r="W13" s="68"/>
      <c r="X13" s="38">
        <v>7</v>
      </c>
      <c r="Y13" s="68"/>
      <c r="Z13" s="38">
        <v>7</v>
      </c>
      <c r="AA13" s="68"/>
      <c r="AB13" s="33">
        <v>7</v>
      </c>
      <c r="AC13" s="5"/>
      <c r="AD13" s="38">
        <v>7</v>
      </c>
      <c r="AE13" s="5"/>
      <c r="AF13" s="38">
        <v>7</v>
      </c>
      <c r="AG13" s="2"/>
      <c r="AH13" s="2"/>
    </row>
    <row r="14" spans="1:34" ht="14.5" x14ac:dyDescent="0.35">
      <c r="A14" s="23">
        <v>7</v>
      </c>
      <c r="B14" s="25" t="s">
        <v>40</v>
      </c>
      <c r="C14" s="2" t="s">
        <v>45</v>
      </c>
      <c r="D14" s="2" t="s">
        <v>53</v>
      </c>
      <c r="E14" s="27" t="s">
        <v>69</v>
      </c>
      <c r="F14" s="78"/>
      <c r="G14" s="78"/>
      <c r="H14" s="2" t="s">
        <v>82</v>
      </c>
      <c r="I14" s="33" t="s">
        <v>85</v>
      </c>
      <c r="J14" s="25">
        <v>2374</v>
      </c>
      <c r="K14" s="25">
        <v>82.14</v>
      </c>
      <c r="L14" s="15">
        <f t="shared" si="0"/>
        <v>6.87</v>
      </c>
      <c r="M14" s="25">
        <v>2.65</v>
      </c>
      <c r="N14" s="3"/>
      <c r="O14" s="3"/>
      <c r="P14" s="9"/>
      <c r="Q14" s="41"/>
      <c r="R14" s="12"/>
      <c r="S14" s="67"/>
      <c r="T14" s="33">
        <v>2.65</v>
      </c>
      <c r="U14" s="68"/>
      <c r="V14" s="38">
        <v>2.65</v>
      </c>
      <c r="W14" s="68"/>
      <c r="X14" s="38">
        <v>2.65</v>
      </c>
      <c r="Y14" s="68"/>
      <c r="Z14" s="38">
        <v>2.65</v>
      </c>
      <c r="AA14" s="68"/>
      <c r="AB14" s="33">
        <v>2.65</v>
      </c>
      <c r="AC14" s="5"/>
      <c r="AD14" s="38">
        <v>2.65</v>
      </c>
      <c r="AE14" s="5"/>
      <c r="AF14" s="38">
        <v>2.65</v>
      </c>
      <c r="AG14" s="2"/>
      <c r="AH14" s="2"/>
    </row>
    <row r="15" spans="1:34" ht="14.5" x14ac:dyDescent="0.35">
      <c r="A15" s="21">
        <v>8</v>
      </c>
      <c r="B15" s="25" t="s">
        <v>41</v>
      </c>
      <c r="C15" s="2" t="s">
        <v>46</v>
      </c>
      <c r="D15" s="2" t="s">
        <v>54</v>
      </c>
      <c r="E15" s="27" t="s">
        <v>70</v>
      </c>
      <c r="F15" s="78"/>
      <c r="G15" s="78"/>
      <c r="H15" s="2" t="s">
        <v>82</v>
      </c>
      <c r="I15" s="34" t="s">
        <v>8</v>
      </c>
      <c r="J15" s="36">
        <v>1014</v>
      </c>
      <c r="K15" s="25">
        <f>42.11</f>
        <v>42.11</v>
      </c>
      <c r="L15" s="15">
        <f t="shared" si="0"/>
        <v>6.9700000000000006</v>
      </c>
      <c r="M15" s="25">
        <v>2.7</v>
      </c>
      <c r="N15" s="3"/>
      <c r="O15" s="3"/>
      <c r="P15" s="9"/>
      <c r="Q15" s="41"/>
      <c r="R15" s="12"/>
      <c r="S15" s="67"/>
      <c r="T15" s="34">
        <v>2.7</v>
      </c>
      <c r="U15" s="68"/>
      <c r="V15" s="38">
        <v>2.7</v>
      </c>
      <c r="W15" s="68"/>
      <c r="X15" s="38">
        <v>2.7</v>
      </c>
      <c r="Y15" s="68"/>
      <c r="Z15" s="38">
        <v>2.7</v>
      </c>
      <c r="AA15" s="68"/>
      <c r="AB15" s="33">
        <v>2.7</v>
      </c>
      <c r="AC15" s="5"/>
      <c r="AD15" s="38">
        <v>2.7</v>
      </c>
      <c r="AE15" s="5"/>
      <c r="AF15" s="38">
        <v>2.7</v>
      </c>
      <c r="AG15" s="2"/>
      <c r="AH15" s="2"/>
    </row>
    <row r="16" spans="1:34" ht="14.5" x14ac:dyDescent="0.35">
      <c r="A16" s="23">
        <v>9</v>
      </c>
      <c r="B16" s="25" t="s">
        <v>41</v>
      </c>
      <c r="C16" s="2" t="s">
        <v>46</v>
      </c>
      <c r="D16" s="2" t="s">
        <v>55</v>
      </c>
      <c r="E16" s="27" t="s">
        <v>71</v>
      </c>
      <c r="F16" s="2"/>
      <c r="G16" s="2"/>
      <c r="H16" s="2" t="s">
        <v>82</v>
      </c>
      <c r="I16" s="34" t="s">
        <v>8</v>
      </c>
      <c r="J16" s="25">
        <v>1013</v>
      </c>
      <c r="K16" s="25">
        <f>45.26</f>
        <v>45.26</v>
      </c>
      <c r="L16" s="15">
        <f t="shared" si="0"/>
        <v>6.9700000000000006</v>
      </c>
      <c r="M16" s="25">
        <v>2.7</v>
      </c>
      <c r="N16" s="3"/>
      <c r="O16" s="3"/>
      <c r="P16" s="9"/>
      <c r="Q16" s="41"/>
      <c r="R16" s="12"/>
      <c r="S16" s="67"/>
      <c r="T16" s="34">
        <v>2.7</v>
      </c>
      <c r="U16" s="68"/>
      <c r="V16" s="38">
        <v>2.7</v>
      </c>
      <c r="W16" s="68"/>
      <c r="X16" s="38">
        <v>2.7</v>
      </c>
      <c r="Y16" s="68"/>
      <c r="Z16" s="38">
        <v>2.7</v>
      </c>
      <c r="AA16" s="68"/>
      <c r="AB16" s="33">
        <v>2.7</v>
      </c>
      <c r="AC16" s="5"/>
      <c r="AD16" s="38">
        <v>2.7</v>
      </c>
      <c r="AE16" s="5"/>
      <c r="AF16" s="38">
        <v>2.7</v>
      </c>
      <c r="AG16" s="2"/>
      <c r="AH16" s="2"/>
    </row>
    <row r="17" spans="1:34" ht="14.5" customHeight="1" x14ac:dyDescent="0.35">
      <c r="A17" s="21">
        <v>10</v>
      </c>
      <c r="B17" s="24" t="s">
        <v>41</v>
      </c>
      <c r="C17" s="2" t="s">
        <v>46</v>
      </c>
      <c r="D17" s="2" t="s">
        <v>55</v>
      </c>
      <c r="E17" s="28" t="s">
        <v>72</v>
      </c>
      <c r="F17" s="78"/>
      <c r="G17" s="78"/>
      <c r="H17" s="2" t="s">
        <v>82</v>
      </c>
      <c r="I17" s="34" t="s">
        <v>8</v>
      </c>
      <c r="J17" s="25">
        <v>2692</v>
      </c>
      <c r="K17" s="25">
        <f>133.77</f>
        <v>133.77000000000001</v>
      </c>
      <c r="L17" s="15">
        <f t="shared" si="0"/>
        <v>6.17</v>
      </c>
      <c r="M17" s="25">
        <v>2.2999999999999998</v>
      </c>
      <c r="N17" s="3"/>
      <c r="O17" s="3"/>
      <c r="P17" s="9"/>
      <c r="Q17" s="41"/>
      <c r="R17" s="12"/>
      <c r="S17" s="67"/>
      <c r="T17" s="34">
        <v>2.2999999999999998</v>
      </c>
      <c r="U17" s="68"/>
      <c r="V17" s="38">
        <v>2.2999999999999998</v>
      </c>
      <c r="W17" s="68"/>
      <c r="X17" s="38">
        <v>2.2999999999999998</v>
      </c>
      <c r="Y17" s="68"/>
      <c r="Z17" s="38">
        <v>2.2999999999999998</v>
      </c>
      <c r="AA17" s="68"/>
      <c r="AB17" s="33">
        <v>2.2999999999999998</v>
      </c>
      <c r="AC17" s="5"/>
      <c r="AD17" s="38">
        <v>2.2999999999999998</v>
      </c>
      <c r="AE17" s="5"/>
      <c r="AF17" s="38">
        <v>2.2999999999999998</v>
      </c>
      <c r="AG17" s="2"/>
      <c r="AH17" s="2"/>
    </row>
    <row r="18" spans="1:34" ht="14.5" x14ac:dyDescent="0.35">
      <c r="A18" s="23">
        <v>11</v>
      </c>
      <c r="B18" s="25" t="s">
        <v>41</v>
      </c>
      <c r="C18" s="2" t="s">
        <v>46</v>
      </c>
      <c r="D18" s="2" t="s">
        <v>56</v>
      </c>
      <c r="E18" s="29" t="s">
        <v>73</v>
      </c>
      <c r="F18" s="2"/>
      <c r="G18" s="2"/>
      <c r="H18" s="2" t="s">
        <v>82</v>
      </c>
      <c r="I18" s="34" t="s">
        <v>8</v>
      </c>
      <c r="J18" s="25">
        <v>1273</v>
      </c>
      <c r="K18" s="25">
        <v>71.5</v>
      </c>
      <c r="L18" s="15">
        <f t="shared" si="0"/>
        <v>5.57</v>
      </c>
      <c r="M18" s="25">
        <v>2</v>
      </c>
      <c r="N18" s="3"/>
      <c r="O18" s="3"/>
      <c r="P18" s="9"/>
      <c r="Q18" s="41"/>
      <c r="R18" s="12"/>
      <c r="S18" s="67"/>
      <c r="T18" s="34">
        <v>2</v>
      </c>
      <c r="U18" s="68"/>
      <c r="V18" s="38">
        <v>2</v>
      </c>
      <c r="W18" s="68"/>
      <c r="X18" s="38">
        <v>2</v>
      </c>
      <c r="Y18" s="68"/>
      <c r="Z18" s="38">
        <v>2</v>
      </c>
      <c r="AA18" s="68"/>
      <c r="AB18" s="33">
        <v>2</v>
      </c>
      <c r="AC18" s="5"/>
      <c r="AD18" s="38">
        <v>2</v>
      </c>
      <c r="AE18" s="5"/>
      <c r="AF18" s="38">
        <v>2</v>
      </c>
      <c r="AG18" s="2"/>
      <c r="AH18" s="2"/>
    </row>
    <row r="19" spans="1:34" ht="14.5" customHeight="1" x14ac:dyDescent="0.35">
      <c r="A19" s="23">
        <v>13</v>
      </c>
      <c r="B19" s="22" t="s">
        <v>42</v>
      </c>
      <c r="C19" s="2" t="s">
        <v>45</v>
      </c>
      <c r="D19" s="2" t="s">
        <v>58</v>
      </c>
      <c r="E19" s="31" t="s">
        <v>75</v>
      </c>
      <c r="F19" s="78"/>
      <c r="G19" s="80"/>
      <c r="H19" s="2" t="s">
        <v>82</v>
      </c>
      <c r="I19" s="35" t="s">
        <v>25</v>
      </c>
      <c r="J19" s="37">
        <v>1641</v>
      </c>
      <c r="K19" s="25">
        <v>43.4</v>
      </c>
      <c r="L19" s="15">
        <f t="shared" si="0"/>
        <v>7.57</v>
      </c>
      <c r="M19" s="25">
        <v>3</v>
      </c>
      <c r="N19" s="3"/>
      <c r="O19" s="3"/>
      <c r="P19" s="9"/>
      <c r="Q19" s="42"/>
      <c r="R19" s="12"/>
      <c r="S19" s="2"/>
      <c r="T19" s="5"/>
      <c r="U19" s="2"/>
      <c r="V19" s="5"/>
      <c r="W19" s="68"/>
      <c r="X19" s="35">
        <v>3</v>
      </c>
      <c r="Y19" s="68"/>
      <c r="Z19" s="35">
        <v>3</v>
      </c>
      <c r="AA19" s="68"/>
      <c r="AB19" s="35">
        <v>3</v>
      </c>
      <c r="AC19" s="5"/>
      <c r="AD19" s="32">
        <v>3</v>
      </c>
      <c r="AE19" s="5"/>
      <c r="AF19" s="35">
        <v>3</v>
      </c>
      <c r="AG19" s="2"/>
      <c r="AH19" s="2"/>
    </row>
    <row r="20" spans="1:34" ht="14.5" customHeight="1" x14ac:dyDescent="0.35">
      <c r="A20" s="21">
        <v>14</v>
      </c>
      <c r="B20" s="22" t="s">
        <v>42</v>
      </c>
      <c r="C20" s="2" t="s">
        <v>45</v>
      </c>
      <c r="D20" s="2" t="s">
        <v>58</v>
      </c>
      <c r="E20" s="31" t="s">
        <v>76</v>
      </c>
      <c r="F20" s="78"/>
      <c r="G20" s="80"/>
      <c r="H20" s="2" t="s">
        <v>82</v>
      </c>
      <c r="I20" s="35" t="s">
        <v>25</v>
      </c>
      <c r="J20" s="37">
        <v>1641</v>
      </c>
      <c r="K20" s="25">
        <v>43.4</v>
      </c>
      <c r="L20" s="15">
        <f t="shared" si="0"/>
        <v>6.9700000000000006</v>
      </c>
      <c r="M20" s="25">
        <v>2.7</v>
      </c>
      <c r="N20" s="3"/>
      <c r="O20" s="3"/>
      <c r="P20" s="9"/>
      <c r="Q20" s="42"/>
      <c r="R20" s="12"/>
      <c r="S20" s="2"/>
      <c r="T20" s="5"/>
      <c r="U20" s="2"/>
      <c r="V20" s="5"/>
      <c r="W20" s="68"/>
      <c r="X20" s="35">
        <v>2.7</v>
      </c>
      <c r="Y20" s="68"/>
      <c r="Z20" s="35">
        <v>2.7</v>
      </c>
      <c r="AA20" s="68"/>
      <c r="AB20" s="35">
        <v>2.7</v>
      </c>
      <c r="AC20" s="5"/>
      <c r="AD20" s="32">
        <v>2.7</v>
      </c>
      <c r="AE20" s="5"/>
      <c r="AF20" s="35">
        <v>2.7</v>
      </c>
      <c r="AG20" s="2"/>
      <c r="AH20" s="2"/>
    </row>
    <row r="21" spans="1:34" ht="14.5" customHeight="1" x14ac:dyDescent="0.35">
      <c r="A21" s="23">
        <v>15</v>
      </c>
      <c r="B21" s="22" t="s">
        <v>42</v>
      </c>
      <c r="C21" s="2" t="s">
        <v>46</v>
      </c>
      <c r="D21" s="2" t="s">
        <v>59</v>
      </c>
      <c r="E21" s="31" t="s">
        <v>77</v>
      </c>
      <c r="F21" s="78"/>
      <c r="G21" s="78"/>
      <c r="H21" s="2" t="s">
        <v>82</v>
      </c>
      <c r="I21" s="35" t="s">
        <v>25</v>
      </c>
      <c r="J21" s="37">
        <f>1273+1679</f>
        <v>2952</v>
      </c>
      <c r="K21" s="25">
        <f>71.5+56.75</f>
        <v>128.25</v>
      </c>
      <c r="L21" s="15">
        <f t="shared" si="0"/>
        <v>4.97</v>
      </c>
      <c r="M21" s="25">
        <v>1.7</v>
      </c>
      <c r="N21" s="3"/>
      <c r="O21" s="3"/>
      <c r="P21" s="9"/>
      <c r="Q21" s="42"/>
      <c r="R21" s="12"/>
      <c r="S21" s="2"/>
      <c r="T21" s="5"/>
      <c r="U21" s="2"/>
      <c r="V21" s="5"/>
      <c r="W21" s="68"/>
      <c r="X21" s="35">
        <v>1.7</v>
      </c>
      <c r="Y21" s="68"/>
      <c r="Z21" s="35">
        <v>1.7</v>
      </c>
      <c r="AA21" s="68"/>
      <c r="AB21" s="35">
        <v>1.7</v>
      </c>
      <c r="AC21" s="5"/>
      <c r="AD21" s="32">
        <v>1.7</v>
      </c>
      <c r="AE21" s="5"/>
      <c r="AF21" s="35">
        <v>1.7</v>
      </c>
      <c r="AG21" s="2"/>
      <c r="AH21" s="2"/>
    </row>
    <row r="22" spans="1:34" ht="14.5" customHeight="1" x14ac:dyDescent="0.35">
      <c r="A22" s="21">
        <v>16</v>
      </c>
      <c r="B22" s="22" t="s">
        <v>42</v>
      </c>
      <c r="C22" s="2" t="s">
        <v>46</v>
      </c>
      <c r="D22" s="2" t="s">
        <v>60</v>
      </c>
      <c r="E22" s="31" t="s">
        <v>78</v>
      </c>
      <c r="F22" s="78"/>
      <c r="G22" s="78"/>
      <c r="H22" s="2" t="s">
        <v>82</v>
      </c>
      <c r="I22" s="35" t="s">
        <v>25</v>
      </c>
      <c r="J22" s="37">
        <f>1273+1679</f>
        <v>2952</v>
      </c>
      <c r="K22" s="25">
        <f>71.5+56.75</f>
        <v>128.25</v>
      </c>
      <c r="L22" s="15">
        <f t="shared" si="0"/>
        <v>5.57</v>
      </c>
      <c r="M22" s="25">
        <v>2</v>
      </c>
      <c r="N22" s="3"/>
      <c r="O22" s="3"/>
      <c r="P22" s="9"/>
      <c r="Q22" s="42"/>
      <c r="R22" s="12"/>
      <c r="S22" s="2"/>
      <c r="T22" s="5"/>
      <c r="U22" s="2"/>
      <c r="V22" s="5"/>
      <c r="W22" s="68"/>
      <c r="X22" s="35">
        <v>2</v>
      </c>
      <c r="Y22" s="68"/>
      <c r="Z22" s="35">
        <v>2</v>
      </c>
      <c r="AA22" s="68"/>
      <c r="AB22" s="35">
        <v>2</v>
      </c>
      <c r="AC22" s="5"/>
      <c r="AD22" s="32">
        <v>2</v>
      </c>
      <c r="AE22" s="5"/>
      <c r="AF22" s="35">
        <v>2</v>
      </c>
      <c r="AG22" s="2"/>
      <c r="AH22" s="2"/>
    </row>
    <row r="23" spans="1:34" ht="14.5" customHeight="1" x14ac:dyDescent="0.35">
      <c r="A23" s="23">
        <v>17</v>
      </c>
      <c r="B23" s="22" t="s">
        <v>42</v>
      </c>
      <c r="C23" s="2" t="s">
        <v>46</v>
      </c>
      <c r="D23" s="2" t="s">
        <v>61</v>
      </c>
      <c r="E23" s="31" t="s">
        <v>79</v>
      </c>
      <c r="F23" s="2"/>
      <c r="G23" s="2"/>
      <c r="H23" s="2" t="s">
        <v>82</v>
      </c>
      <c r="I23" s="35" t="s">
        <v>25</v>
      </c>
      <c r="J23" s="37">
        <v>1273</v>
      </c>
      <c r="K23" s="25">
        <v>71.5</v>
      </c>
      <c r="L23" s="15">
        <f t="shared" si="0"/>
        <v>5.57</v>
      </c>
      <c r="M23" s="25">
        <v>2</v>
      </c>
      <c r="N23" s="3"/>
      <c r="O23" s="3"/>
      <c r="P23" s="9"/>
      <c r="Q23" s="42"/>
      <c r="R23" s="12"/>
      <c r="S23" s="2"/>
      <c r="T23" s="5"/>
      <c r="U23" s="2"/>
      <c r="V23" s="5"/>
      <c r="W23" s="68"/>
      <c r="X23" s="35">
        <v>2</v>
      </c>
      <c r="Y23" s="68"/>
      <c r="Z23" s="35">
        <v>2</v>
      </c>
      <c r="AA23" s="68"/>
      <c r="AB23" s="35">
        <v>2</v>
      </c>
      <c r="AC23" s="5"/>
      <c r="AD23" s="32">
        <v>2</v>
      </c>
      <c r="AE23" s="5"/>
      <c r="AF23" s="35">
        <v>2</v>
      </c>
      <c r="AG23" s="2"/>
      <c r="AH23" s="2"/>
    </row>
    <row r="24" spans="1:34" ht="14.5" customHeight="1" x14ac:dyDescent="0.35">
      <c r="A24" s="21">
        <v>18</v>
      </c>
      <c r="B24" s="22" t="s">
        <v>42</v>
      </c>
      <c r="C24" s="2" t="s">
        <v>46</v>
      </c>
      <c r="D24" s="2" t="s">
        <v>62</v>
      </c>
      <c r="E24" s="31" t="s">
        <v>80</v>
      </c>
      <c r="F24" s="78"/>
      <c r="G24" s="78"/>
      <c r="H24" s="2" t="s">
        <v>82</v>
      </c>
      <c r="I24" s="35" t="s">
        <v>25</v>
      </c>
      <c r="J24" s="37">
        <v>1273</v>
      </c>
      <c r="K24" s="25">
        <v>71.5</v>
      </c>
      <c r="L24" s="15">
        <f t="shared" si="0"/>
        <v>5.57</v>
      </c>
      <c r="M24" s="25">
        <v>2</v>
      </c>
      <c r="N24" s="3"/>
      <c r="O24" s="3"/>
      <c r="P24" s="9"/>
      <c r="Q24" s="42"/>
      <c r="R24" s="12"/>
      <c r="S24" s="2"/>
      <c r="T24" s="5"/>
      <c r="U24" s="2"/>
      <c r="V24" s="5"/>
      <c r="W24" s="68"/>
      <c r="X24" s="35">
        <v>2</v>
      </c>
      <c r="Y24" s="68"/>
      <c r="Z24" s="35">
        <v>2</v>
      </c>
      <c r="AA24" s="68"/>
      <c r="AB24" s="35">
        <v>2</v>
      </c>
      <c r="AC24" s="5"/>
      <c r="AD24" s="32">
        <v>2</v>
      </c>
      <c r="AE24" s="5"/>
      <c r="AF24" s="35">
        <v>2</v>
      </c>
      <c r="AG24" s="2"/>
      <c r="AH24" s="2"/>
    </row>
    <row r="25" spans="1:34" ht="14.5" customHeight="1" x14ac:dyDescent="0.35">
      <c r="A25" s="23">
        <v>19</v>
      </c>
      <c r="B25" s="22" t="s">
        <v>42</v>
      </c>
      <c r="C25" s="2" t="s">
        <v>46</v>
      </c>
      <c r="D25" s="2" t="s">
        <v>62</v>
      </c>
      <c r="E25" s="31" t="s">
        <v>81</v>
      </c>
      <c r="F25" s="2"/>
      <c r="G25" s="2"/>
      <c r="H25" s="2" t="s">
        <v>82</v>
      </c>
      <c r="I25" s="35" t="s">
        <v>25</v>
      </c>
      <c r="J25" s="37">
        <v>1273</v>
      </c>
      <c r="K25" s="25">
        <v>71.5</v>
      </c>
      <c r="L25" s="15">
        <f t="shared" si="0"/>
        <v>6.9700000000000006</v>
      </c>
      <c r="M25" s="25">
        <v>2.7</v>
      </c>
      <c r="N25" s="3"/>
      <c r="O25" s="3"/>
      <c r="P25" s="9"/>
      <c r="Q25" s="42"/>
      <c r="R25" s="12"/>
      <c r="S25" s="2"/>
      <c r="T25" s="5"/>
      <c r="U25" s="2"/>
      <c r="V25" s="5"/>
      <c r="W25" s="68"/>
      <c r="X25" s="35">
        <v>2.7</v>
      </c>
      <c r="Y25" s="68"/>
      <c r="Z25" s="35">
        <v>2.7</v>
      </c>
      <c r="AA25" s="68"/>
      <c r="AB25" s="35">
        <v>2.7</v>
      </c>
      <c r="AC25" s="5"/>
      <c r="AD25" s="32">
        <v>2.7</v>
      </c>
      <c r="AE25" s="5"/>
      <c r="AF25" s="35">
        <v>2.7</v>
      </c>
      <c r="AG25" s="2"/>
      <c r="AH25" s="2"/>
    </row>
    <row r="26" spans="1:34" ht="9.65" customHeight="1" x14ac:dyDescent="0.35">
      <c r="A26" s="55"/>
      <c r="B26" s="56"/>
      <c r="C26" s="57"/>
      <c r="D26" s="57"/>
      <c r="E26" s="57"/>
      <c r="F26" s="57"/>
      <c r="G26" s="57"/>
      <c r="H26" s="57"/>
      <c r="I26" s="58"/>
      <c r="J26" s="57"/>
      <c r="K26" s="57"/>
      <c r="L26" s="57"/>
      <c r="M26" s="59"/>
      <c r="N26" s="59"/>
      <c r="O26" s="59"/>
      <c r="P26" s="89"/>
      <c r="Q26" s="60"/>
      <c r="R26" s="61"/>
      <c r="S26" s="57"/>
      <c r="T26" s="59"/>
      <c r="U26" s="57"/>
      <c r="V26" s="59"/>
      <c r="W26" s="59"/>
      <c r="X26" s="59"/>
      <c r="Y26" s="59"/>
      <c r="Z26" s="59"/>
      <c r="AA26" s="59"/>
      <c r="AB26" s="59"/>
      <c r="AC26" s="59"/>
      <c r="AD26" s="59"/>
      <c r="AE26" s="59"/>
      <c r="AF26" s="59"/>
      <c r="AG26" s="2"/>
      <c r="AH26" s="2"/>
    </row>
    <row r="27" spans="1:34" ht="14.5" x14ac:dyDescent="0.35">
      <c r="A27" s="23">
        <v>1</v>
      </c>
      <c r="B27" s="25" t="s">
        <v>93</v>
      </c>
      <c r="C27" s="2" t="s">
        <v>45</v>
      </c>
      <c r="D27" s="2" t="s">
        <v>58</v>
      </c>
      <c r="E27" s="27" t="s">
        <v>96</v>
      </c>
      <c r="F27" s="86"/>
      <c r="G27" s="86"/>
      <c r="H27" s="27" t="s">
        <v>23</v>
      </c>
      <c r="I27" s="34" t="s">
        <v>8</v>
      </c>
      <c r="J27" s="25">
        <v>1641</v>
      </c>
      <c r="K27" s="25">
        <v>43.4</v>
      </c>
      <c r="L27" s="2">
        <f t="shared" ref="L27:L47" si="1">(M27*2)+$L$1</f>
        <v>3.5700000000000003</v>
      </c>
      <c r="M27" s="25">
        <v>1</v>
      </c>
      <c r="N27" s="70">
        <f t="shared" ref="N27:N47" si="2">((J27/K27)*L27)/M27</f>
        <v>134.98548387096776</v>
      </c>
      <c r="O27" s="5"/>
      <c r="P27" s="9"/>
      <c r="Q27" s="41"/>
      <c r="R27" s="12"/>
      <c r="S27" s="2"/>
      <c r="T27" s="5"/>
      <c r="U27" s="2"/>
      <c r="V27" s="5"/>
      <c r="W27" s="68"/>
      <c r="X27" s="34">
        <v>1</v>
      </c>
      <c r="Y27" s="68"/>
      <c r="Z27" s="38">
        <v>1</v>
      </c>
      <c r="AA27" s="68"/>
      <c r="AB27" s="38">
        <v>1</v>
      </c>
      <c r="AC27" s="5"/>
      <c r="AD27" s="38">
        <v>1</v>
      </c>
      <c r="AE27" s="5"/>
      <c r="AF27" s="74">
        <v>1</v>
      </c>
      <c r="AG27" s="2"/>
      <c r="AH27" s="2"/>
    </row>
    <row r="28" spans="1:34" ht="14.5" x14ac:dyDescent="0.35">
      <c r="A28" s="23">
        <v>2</v>
      </c>
      <c r="B28" s="22" t="s">
        <v>35</v>
      </c>
      <c r="C28" s="2" t="s">
        <v>43</v>
      </c>
      <c r="D28" s="2" t="s">
        <v>120</v>
      </c>
      <c r="E28" s="31" t="s">
        <v>129</v>
      </c>
      <c r="F28" s="81"/>
      <c r="G28" s="81"/>
      <c r="H28" s="27" t="s">
        <v>84</v>
      </c>
      <c r="I28" s="34" t="s">
        <v>8</v>
      </c>
      <c r="J28" s="25">
        <f>770+1806</f>
        <v>2576</v>
      </c>
      <c r="K28" s="25">
        <f>23.18+22.95</f>
        <v>46.129999999999995</v>
      </c>
      <c r="L28" s="2">
        <f t="shared" si="1"/>
        <v>17.57</v>
      </c>
      <c r="M28" s="25">
        <v>8</v>
      </c>
      <c r="N28" s="70">
        <f t="shared" si="2"/>
        <v>122.64339908952961</v>
      </c>
      <c r="O28" s="5"/>
      <c r="P28" s="9"/>
      <c r="Q28" s="41"/>
      <c r="R28" s="12"/>
      <c r="S28" s="2"/>
      <c r="T28" s="5"/>
      <c r="U28" s="68"/>
      <c r="V28" s="25"/>
      <c r="W28" s="68"/>
      <c r="X28" s="34">
        <v>8</v>
      </c>
      <c r="Y28" s="68"/>
      <c r="Z28" s="38">
        <v>8</v>
      </c>
      <c r="AA28" s="68"/>
      <c r="AB28" s="38">
        <v>8</v>
      </c>
      <c r="AC28" s="5"/>
      <c r="AD28" s="38">
        <v>8</v>
      </c>
      <c r="AE28" s="5"/>
      <c r="AF28" s="74">
        <v>8</v>
      </c>
      <c r="AG28" s="2"/>
      <c r="AH28" s="2"/>
    </row>
    <row r="29" spans="1:34" ht="14.5" x14ac:dyDescent="0.35">
      <c r="A29" s="23">
        <v>3</v>
      </c>
      <c r="B29" s="22" t="s">
        <v>86</v>
      </c>
      <c r="C29" s="2" t="s">
        <v>43</v>
      </c>
      <c r="D29" s="2" t="s">
        <v>130</v>
      </c>
      <c r="E29" s="31" t="s">
        <v>109</v>
      </c>
      <c r="F29" s="78"/>
      <c r="G29" s="78"/>
      <c r="H29" s="27" t="s">
        <v>23</v>
      </c>
      <c r="I29" s="34" t="s">
        <v>8</v>
      </c>
      <c r="J29" s="25">
        <f>502+654</f>
        <v>1156</v>
      </c>
      <c r="K29" s="25">
        <f>11.38+16.37</f>
        <v>27.75</v>
      </c>
      <c r="L29" s="2">
        <f t="shared" si="1"/>
        <v>11.07</v>
      </c>
      <c r="M29" s="25">
        <v>4.75</v>
      </c>
      <c r="N29" s="70">
        <f t="shared" si="2"/>
        <v>97.084267425320064</v>
      </c>
      <c r="O29" s="5"/>
      <c r="P29" s="9"/>
      <c r="Q29" s="41"/>
      <c r="R29" s="12"/>
      <c r="S29" s="2"/>
      <c r="T29" s="5"/>
      <c r="U29" s="68"/>
      <c r="V29" s="25"/>
      <c r="W29" s="68"/>
      <c r="X29" s="34">
        <v>4.75</v>
      </c>
      <c r="Y29" s="68"/>
      <c r="Z29" s="38">
        <v>4.75</v>
      </c>
      <c r="AA29" s="68"/>
      <c r="AB29" s="38">
        <v>4.75</v>
      </c>
      <c r="AC29" s="5"/>
      <c r="AD29" s="38">
        <v>4.75</v>
      </c>
      <c r="AE29" s="5"/>
      <c r="AF29" s="74">
        <v>4.75</v>
      </c>
      <c r="AG29" s="2"/>
      <c r="AH29" s="2"/>
    </row>
    <row r="30" spans="1:34" ht="14.5" x14ac:dyDescent="0.35">
      <c r="A30" s="23">
        <v>4</v>
      </c>
      <c r="B30" s="22" t="s">
        <v>92</v>
      </c>
      <c r="C30" s="2" t="s">
        <v>44</v>
      </c>
      <c r="D30" s="2" t="s">
        <v>122</v>
      </c>
      <c r="E30" s="31" t="s">
        <v>118</v>
      </c>
      <c r="F30" s="78"/>
      <c r="G30" s="78"/>
      <c r="H30" s="83" t="s">
        <v>138</v>
      </c>
      <c r="I30" s="34" t="s">
        <v>8</v>
      </c>
      <c r="J30" s="45">
        <v>1841</v>
      </c>
      <c r="K30" s="25">
        <v>45.26</v>
      </c>
      <c r="L30" s="2">
        <f t="shared" si="1"/>
        <v>17.37</v>
      </c>
      <c r="M30" s="25">
        <v>7.9</v>
      </c>
      <c r="N30" s="70">
        <f t="shared" si="2"/>
        <v>89.435917371921448</v>
      </c>
      <c r="O30" s="5"/>
      <c r="P30" s="9"/>
      <c r="Q30" s="42"/>
      <c r="R30" s="12"/>
      <c r="S30" s="2"/>
      <c r="T30" s="5"/>
      <c r="U30" s="68"/>
      <c r="V30" s="25"/>
      <c r="W30" s="68"/>
      <c r="X30" s="25"/>
      <c r="Y30" s="68"/>
      <c r="Z30" s="34">
        <v>7.9</v>
      </c>
      <c r="AA30" s="68"/>
      <c r="AB30" s="38">
        <v>7.9</v>
      </c>
      <c r="AC30" s="5"/>
      <c r="AD30" s="38">
        <v>7.9</v>
      </c>
      <c r="AE30" s="5"/>
      <c r="AF30" s="38">
        <v>7.9</v>
      </c>
      <c r="AG30" s="2"/>
      <c r="AH30" s="2"/>
    </row>
    <row r="31" spans="1:34" ht="14.5" x14ac:dyDescent="0.35">
      <c r="A31" s="23">
        <v>5</v>
      </c>
      <c r="B31" s="22" t="s">
        <v>88</v>
      </c>
      <c r="C31" s="2" t="s">
        <v>44</v>
      </c>
      <c r="D31" s="2" t="s">
        <v>132</v>
      </c>
      <c r="E31" s="31" t="s">
        <v>112</v>
      </c>
      <c r="F31" s="78"/>
      <c r="G31" s="78"/>
      <c r="H31" s="27" t="s">
        <v>135</v>
      </c>
      <c r="I31" s="38" t="s">
        <v>25</v>
      </c>
      <c r="J31" s="25">
        <v>1841</v>
      </c>
      <c r="K31" s="25">
        <v>45.26</v>
      </c>
      <c r="L31" s="2">
        <f t="shared" si="1"/>
        <v>22.17</v>
      </c>
      <c r="M31" s="25">
        <v>10.3</v>
      </c>
      <c r="N31" s="70">
        <f t="shared" si="2"/>
        <v>87.552329796772909</v>
      </c>
      <c r="O31" s="5"/>
      <c r="P31" s="9"/>
      <c r="Q31" s="42"/>
      <c r="R31" s="12"/>
      <c r="S31" s="2"/>
      <c r="T31" s="5"/>
      <c r="U31" s="2"/>
      <c r="V31" s="5"/>
      <c r="W31" s="2"/>
      <c r="X31" s="5"/>
      <c r="Y31" s="2"/>
      <c r="Z31" s="34">
        <v>10.3</v>
      </c>
      <c r="AA31" s="68"/>
      <c r="AB31" s="38">
        <v>10.3</v>
      </c>
      <c r="AC31" s="5"/>
      <c r="AD31" s="38">
        <v>10.3</v>
      </c>
      <c r="AE31" s="5"/>
      <c r="AF31" s="38">
        <v>10.3</v>
      </c>
      <c r="AG31" s="2"/>
      <c r="AH31" s="2"/>
    </row>
    <row r="32" spans="1:34" ht="14.5" x14ac:dyDescent="0.35">
      <c r="A32" s="23">
        <v>6</v>
      </c>
      <c r="B32" s="22" t="s">
        <v>93</v>
      </c>
      <c r="C32" s="2" t="s">
        <v>45</v>
      </c>
      <c r="D32" s="2" t="s">
        <v>58</v>
      </c>
      <c r="E32" s="31" t="s">
        <v>119</v>
      </c>
      <c r="F32" s="78"/>
      <c r="G32" s="78"/>
      <c r="H32" s="27" t="s">
        <v>24</v>
      </c>
      <c r="I32" s="38" t="s">
        <v>25</v>
      </c>
      <c r="J32" s="25">
        <f>1641</f>
        <v>1641</v>
      </c>
      <c r="K32" s="25">
        <f>43.4</f>
        <v>43.4</v>
      </c>
      <c r="L32" s="2">
        <f t="shared" si="1"/>
        <v>13.17</v>
      </c>
      <c r="M32" s="25">
        <v>5.8</v>
      </c>
      <c r="N32" s="70">
        <f t="shared" si="2"/>
        <v>85.857182583823302</v>
      </c>
      <c r="O32" s="5"/>
      <c r="P32" s="9"/>
      <c r="Q32" s="41"/>
      <c r="R32" s="12"/>
      <c r="S32" s="2"/>
      <c r="T32" s="5"/>
      <c r="U32" s="2"/>
      <c r="V32" s="5"/>
      <c r="W32" s="2"/>
      <c r="X32" s="5"/>
      <c r="Y32" s="2"/>
      <c r="Z32" s="34">
        <v>5.8</v>
      </c>
      <c r="AA32" s="68"/>
      <c r="AB32" s="38">
        <v>5.8</v>
      </c>
      <c r="AC32" s="5"/>
      <c r="AD32" s="38">
        <v>5.8</v>
      </c>
      <c r="AE32" s="5"/>
      <c r="AF32" s="38">
        <v>5.8</v>
      </c>
      <c r="AG32" s="2"/>
      <c r="AH32" s="2"/>
    </row>
    <row r="33" spans="1:34" ht="14.5" x14ac:dyDescent="0.35">
      <c r="A33" s="23">
        <v>7</v>
      </c>
      <c r="B33" s="25" t="s">
        <v>42</v>
      </c>
      <c r="C33" s="2" t="s">
        <v>44</v>
      </c>
      <c r="D33" s="2" t="s">
        <v>126</v>
      </c>
      <c r="E33" s="27" t="s">
        <v>105</v>
      </c>
      <c r="F33" s="87"/>
      <c r="G33" s="87"/>
      <c r="H33" s="27" t="s">
        <v>84</v>
      </c>
      <c r="I33" s="34" t="s">
        <v>8</v>
      </c>
      <c r="J33" s="25">
        <v>1922</v>
      </c>
      <c r="K33" s="25">
        <v>61.27</v>
      </c>
      <c r="L33" s="2">
        <f t="shared" si="1"/>
        <v>8.57</v>
      </c>
      <c r="M33" s="25">
        <v>3.5</v>
      </c>
      <c r="N33" s="70">
        <f t="shared" si="2"/>
        <v>76.810091165566931</v>
      </c>
      <c r="O33" s="5"/>
      <c r="P33" s="9"/>
      <c r="Q33" s="40"/>
      <c r="R33" s="12"/>
      <c r="S33" s="2"/>
      <c r="T33" s="5"/>
      <c r="U33" s="2"/>
      <c r="V33" s="5"/>
      <c r="W33" s="68"/>
      <c r="X33" s="25"/>
      <c r="Y33" s="68"/>
      <c r="Z33" s="25"/>
      <c r="AA33" s="68"/>
      <c r="AB33" s="73">
        <v>3.5</v>
      </c>
      <c r="AC33" s="5"/>
      <c r="AD33" s="72">
        <v>3.5</v>
      </c>
      <c r="AE33" s="5"/>
      <c r="AF33" s="72">
        <v>3.5</v>
      </c>
      <c r="AG33" s="2"/>
      <c r="AH33" s="2"/>
    </row>
    <row r="34" spans="1:34" ht="14.5" x14ac:dyDescent="0.35">
      <c r="A34" s="23">
        <v>8</v>
      </c>
      <c r="B34" s="22" t="s">
        <v>91</v>
      </c>
      <c r="C34" s="2" t="s">
        <v>44</v>
      </c>
      <c r="D34" s="2" t="s">
        <v>121</v>
      </c>
      <c r="E34" s="31" t="s">
        <v>116</v>
      </c>
      <c r="F34" s="88"/>
      <c r="G34" s="88"/>
      <c r="H34" s="27" t="s">
        <v>135</v>
      </c>
      <c r="I34" s="38" t="s">
        <v>25</v>
      </c>
      <c r="J34" s="25">
        <v>1963</v>
      </c>
      <c r="K34" s="25">
        <v>82.14</v>
      </c>
      <c r="L34" s="2">
        <f t="shared" si="1"/>
        <v>5.7700000000000005</v>
      </c>
      <c r="M34" s="25">
        <v>2.1</v>
      </c>
      <c r="N34" s="70">
        <f t="shared" si="2"/>
        <v>65.66321147402229</v>
      </c>
      <c r="O34" s="5"/>
      <c r="P34" s="9"/>
      <c r="Q34" s="41"/>
      <c r="R34" s="12"/>
      <c r="S34" s="2"/>
      <c r="T34" s="5"/>
      <c r="U34" s="2"/>
      <c r="V34" s="5"/>
      <c r="W34" s="68"/>
      <c r="X34" s="25"/>
      <c r="Y34" s="68"/>
      <c r="Z34" s="25"/>
      <c r="AA34" s="68"/>
      <c r="AB34" s="34">
        <v>2.1</v>
      </c>
      <c r="AC34" s="5"/>
      <c r="AD34" s="38">
        <v>2.1</v>
      </c>
      <c r="AE34" s="5"/>
      <c r="AF34" s="38">
        <v>2.1</v>
      </c>
      <c r="AG34" s="2"/>
      <c r="AH34" s="2"/>
    </row>
    <row r="35" spans="1:34" ht="14.5" x14ac:dyDescent="0.35">
      <c r="A35" s="23">
        <v>9</v>
      </c>
      <c r="B35" s="22" t="s">
        <v>89</v>
      </c>
      <c r="C35" s="2" t="s">
        <v>44</v>
      </c>
      <c r="D35" s="2" t="s">
        <v>134</v>
      </c>
      <c r="E35" s="27" t="s">
        <v>114</v>
      </c>
      <c r="F35" s="87"/>
      <c r="G35" s="87"/>
      <c r="H35" s="84" t="s">
        <v>24</v>
      </c>
      <c r="I35" s="34" t="s">
        <v>8</v>
      </c>
      <c r="J35" s="36">
        <f>896+1963</f>
        <v>2859</v>
      </c>
      <c r="K35" s="25">
        <f>20.62+82.14</f>
        <v>102.76</v>
      </c>
      <c r="L35" s="2">
        <f t="shared" si="1"/>
        <v>12.97</v>
      </c>
      <c r="M35" s="25">
        <v>5.7</v>
      </c>
      <c r="N35" s="70">
        <f t="shared" si="2"/>
        <v>63.307502407244264</v>
      </c>
      <c r="O35" s="5"/>
      <c r="P35" s="9"/>
      <c r="Q35" s="41"/>
      <c r="R35" s="12"/>
      <c r="S35" s="2"/>
      <c r="T35" s="5"/>
      <c r="U35" s="2"/>
      <c r="V35" s="5"/>
      <c r="W35" s="2"/>
      <c r="X35" s="5"/>
      <c r="Y35" s="2"/>
      <c r="Z35" s="5"/>
      <c r="AA35" s="68"/>
      <c r="AB35" s="34">
        <v>5.7</v>
      </c>
      <c r="AC35" s="5"/>
      <c r="AD35" s="38">
        <v>5.7</v>
      </c>
      <c r="AE35" s="5"/>
      <c r="AF35" s="38">
        <v>5.7</v>
      </c>
      <c r="AG35" s="2"/>
      <c r="AH35" s="2"/>
    </row>
    <row r="36" spans="1:34" ht="14.5" x14ac:dyDescent="0.35">
      <c r="A36" s="23">
        <v>10</v>
      </c>
      <c r="B36" s="22" t="s">
        <v>42</v>
      </c>
      <c r="C36" s="2" t="s">
        <v>43</v>
      </c>
      <c r="D36" s="2" t="s">
        <v>131</v>
      </c>
      <c r="E36" s="31" t="s">
        <v>110</v>
      </c>
      <c r="F36" s="88"/>
      <c r="G36" s="88"/>
      <c r="H36" s="27" t="s">
        <v>84</v>
      </c>
      <c r="I36" s="34" t="s">
        <v>8</v>
      </c>
      <c r="J36" s="25">
        <f>1906+1963</f>
        <v>3869</v>
      </c>
      <c r="K36" s="25">
        <f>59.77+82.14</f>
        <v>141.91</v>
      </c>
      <c r="L36" s="2">
        <f t="shared" si="1"/>
        <v>16.57</v>
      </c>
      <c r="M36" s="25">
        <v>7.5</v>
      </c>
      <c r="N36" s="70">
        <f t="shared" si="2"/>
        <v>60.234730932750807</v>
      </c>
      <c r="O36" s="5"/>
      <c r="P36" s="9"/>
      <c r="Q36" s="41"/>
      <c r="R36" s="12"/>
      <c r="S36" s="2"/>
      <c r="T36" s="5"/>
      <c r="U36" s="2"/>
      <c r="V36" s="5"/>
      <c r="W36" s="2"/>
      <c r="X36" s="5"/>
      <c r="Y36" s="2"/>
      <c r="Z36" s="5"/>
      <c r="AA36" s="68"/>
      <c r="AB36" s="34">
        <v>7.5</v>
      </c>
      <c r="AC36" s="5"/>
      <c r="AD36" s="38">
        <v>7.5</v>
      </c>
      <c r="AE36" s="5"/>
      <c r="AF36" s="38">
        <v>7.5</v>
      </c>
      <c r="AG36" s="2"/>
      <c r="AH36" s="2"/>
    </row>
    <row r="37" spans="1:34" ht="14.5" x14ac:dyDescent="0.35">
      <c r="A37" s="23">
        <v>11</v>
      </c>
      <c r="B37" s="22" t="s">
        <v>42</v>
      </c>
      <c r="C37" s="2" t="s">
        <v>46</v>
      </c>
      <c r="D37" s="2" t="s">
        <v>125</v>
      </c>
      <c r="E37" s="31" t="s">
        <v>108</v>
      </c>
      <c r="F37" s="2"/>
      <c r="G37" s="2"/>
      <c r="H37" s="27" t="s">
        <v>84</v>
      </c>
      <c r="I37" s="34" t="s">
        <v>8</v>
      </c>
      <c r="J37" s="25">
        <f>1205</f>
        <v>1205</v>
      </c>
      <c r="K37" s="25">
        <v>52.84</v>
      </c>
      <c r="L37" s="2">
        <f t="shared" si="1"/>
        <v>6.57</v>
      </c>
      <c r="M37" s="25">
        <v>2.5</v>
      </c>
      <c r="N37" s="70">
        <f t="shared" si="2"/>
        <v>59.930734292202871</v>
      </c>
      <c r="O37" s="5"/>
      <c r="P37" s="9"/>
      <c r="Q37" s="41"/>
      <c r="R37" s="12"/>
      <c r="S37" s="2"/>
      <c r="T37" s="5"/>
      <c r="U37" s="2"/>
      <c r="V37" s="5"/>
      <c r="W37" s="2"/>
      <c r="X37" s="5"/>
      <c r="Y37" s="2"/>
      <c r="Z37" s="5"/>
      <c r="AA37" s="68"/>
      <c r="AB37" s="34">
        <v>2.5</v>
      </c>
      <c r="AC37" s="5"/>
      <c r="AD37" s="38">
        <v>2.5</v>
      </c>
      <c r="AE37" s="5"/>
      <c r="AF37" s="38">
        <v>2.5</v>
      </c>
      <c r="AG37" s="2"/>
      <c r="AH37" s="2"/>
    </row>
    <row r="38" spans="1:34" ht="14.5" x14ac:dyDescent="0.35">
      <c r="A38" s="23">
        <v>12</v>
      </c>
      <c r="B38" s="22" t="s">
        <v>42</v>
      </c>
      <c r="C38" s="2" t="s">
        <v>45</v>
      </c>
      <c r="D38" s="2" t="s">
        <v>127</v>
      </c>
      <c r="E38" s="27" t="s">
        <v>106</v>
      </c>
      <c r="F38" s="88"/>
      <c r="G38" s="88"/>
      <c r="H38" s="27" t="s">
        <v>84</v>
      </c>
      <c r="I38" s="34" t="s">
        <v>8</v>
      </c>
      <c r="J38" s="25">
        <v>2455</v>
      </c>
      <c r="K38" s="25">
        <v>99.33</v>
      </c>
      <c r="L38" s="2">
        <f t="shared" si="1"/>
        <v>9.9700000000000006</v>
      </c>
      <c r="M38" s="25">
        <v>4.2</v>
      </c>
      <c r="N38" s="70">
        <f t="shared" si="2"/>
        <v>58.6701135704458</v>
      </c>
      <c r="O38" s="5"/>
      <c r="P38" s="9"/>
      <c r="Q38" s="41"/>
      <c r="R38" s="12"/>
      <c r="S38" s="2"/>
      <c r="T38" s="5"/>
      <c r="U38" s="2"/>
      <c r="V38" s="5"/>
      <c r="W38" s="2"/>
      <c r="X38" s="5"/>
      <c r="Y38" s="68"/>
      <c r="Z38" s="25"/>
      <c r="AA38" s="68"/>
      <c r="AB38" s="25"/>
      <c r="AC38" s="5"/>
      <c r="AD38" s="34">
        <v>4.2</v>
      </c>
      <c r="AE38" s="5"/>
      <c r="AF38" s="38">
        <v>4.2</v>
      </c>
      <c r="AG38" s="2"/>
      <c r="AH38" s="2"/>
    </row>
    <row r="39" spans="1:34" ht="14.5" x14ac:dyDescent="0.35">
      <c r="A39" s="23">
        <v>13</v>
      </c>
      <c r="B39" s="22" t="s">
        <v>42</v>
      </c>
      <c r="C39" s="2" t="s">
        <v>46</v>
      </c>
      <c r="D39" s="2" t="s">
        <v>125</v>
      </c>
      <c r="E39" s="27" t="s">
        <v>102</v>
      </c>
      <c r="F39" s="2"/>
      <c r="G39" s="2"/>
      <c r="H39" s="27" t="s">
        <v>84</v>
      </c>
      <c r="I39" s="34" t="s">
        <v>8</v>
      </c>
      <c r="J39" s="25">
        <v>1205</v>
      </c>
      <c r="K39" s="25">
        <v>52.84</v>
      </c>
      <c r="L39" s="2">
        <f t="shared" si="1"/>
        <v>7.57</v>
      </c>
      <c r="M39" s="25">
        <v>3</v>
      </c>
      <c r="N39" s="70">
        <f t="shared" si="2"/>
        <v>57.543843048195811</v>
      </c>
      <c r="O39" s="5"/>
      <c r="P39" s="9"/>
      <c r="Q39" s="41"/>
      <c r="R39" s="12"/>
      <c r="S39" s="2"/>
      <c r="T39" s="5"/>
      <c r="U39" s="2"/>
      <c r="V39" s="5"/>
      <c r="W39" s="2"/>
      <c r="X39" s="5"/>
      <c r="Y39" s="68"/>
      <c r="Z39" s="25"/>
      <c r="AA39" s="68"/>
      <c r="AB39" s="25"/>
      <c r="AC39" s="5"/>
      <c r="AD39" s="34">
        <v>3</v>
      </c>
      <c r="AE39" s="5"/>
      <c r="AF39" s="38">
        <v>3</v>
      </c>
      <c r="AG39" s="2"/>
      <c r="AH39" s="2"/>
    </row>
    <row r="40" spans="1:34" ht="14.5" x14ac:dyDescent="0.35">
      <c r="A40" s="23">
        <v>14</v>
      </c>
      <c r="B40" s="22" t="s">
        <v>90</v>
      </c>
      <c r="C40" s="2" t="s">
        <v>44</v>
      </c>
      <c r="D40" s="2" t="s">
        <v>121</v>
      </c>
      <c r="E40" s="31" t="s">
        <v>115</v>
      </c>
      <c r="F40" s="78"/>
      <c r="G40" s="78"/>
      <c r="H40" s="84" t="s">
        <v>24</v>
      </c>
      <c r="I40" s="34" t="s">
        <v>8</v>
      </c>
      <c r="J40" s="36">
        <v>1963</v>
      </c>
      <c r="K40" s="25">
        <v>82.14</v>
      </c>
      <c r="L40" s="2">
        <f t="shared" si="1"/>
        <v>17.37</v>
      </c>
      <c r="M40" s="25">
        <v>7.9</v>
      </c>
      <c r="N40" s="70">
        <f t="shared" si="2"/>
        <v>52.545838688500339</v>
      </c>
      <c r="O40" s="5"/>
      <c r="P40" s="9"/>
      <c r="Q40" s="41"/>
      <c r="R40" s="12"/>
      <c r="S40" s="2"/>
      <c r="T40" s="5"/>
      <c r="U40" s="2"/>
      <c r="V40" s="5"/>
      <c r="W40" s="68"/>
      <c r="X40" s="25"/>
      <c r="Y40" s="68"/>
      <c r="Z40" s="25"/>
      <c r="AA40" s="68"/>
      <c r="AB40" s="25"/>
      <c r="AC40" s="5"/>
      <c r="AD40" s="34">
        <v>7.9</v>
      </c>
      <c r="AE40" s="5"/>
      <c r="AF40" s="38">
        <v>7.9</v>
      </c>
      <c r="AG40" s="2"/>
      <c r="AH40" s="2"/>
    </row>
    <row r="41" spans="1:34" ht="14.5" x14ac:dyDescent="0.35">
      <c r="A41" s="23">
        <v>15</v>
      </c>
      <c r="B41" s="22" t="s">
        <v>42</v>
      </c>
      <c r="C41" s="2" t="s">
        <v>44</v>
      </c>
      <c r="D41" s="2" t="s">
        <v>125</v>
      </c>
      <c r="E41" s="27" t="s">
        <v>103</v>
      </c>
      <c r="F41" s="2"/>
      <c r="G41" s="2"/>
      <c r="H41" s="27" t="s">
        <v>84</v>
      </c>
      <c r="I41" s="34" t="s">
        <v>8</v>
      </c>
      <c r="J41" s="25">
        <v>1205</v>
      </c>
      <c r="K41" s="25">
        <v>52.84</v>
      </c>
      <c r="L41" s="2">
        <f t="shared" si="1"/>
        <v>18.57</v>
      </c>
      <c r="M41" s="25">
        <v>8.5</v>
      </c>
      <c r="N41" s="70">
        <f t="shared" si="2"/>
        <v>49.821547846996481</v>
      </c>
      <c r="O41" s="5"/>
      <c r="P41" s="9"/>
      <c r="Q41" s="41"/>
      <c r="R41" s="12"/>
      <c r="S41" s="2"/>
      <c r="T41" s="5"/>
      <c r="U41" s="2"/>
      <c r="V41" s="5"/>
      <c r="W41" s="2"/>
      <c r="X41" s="5"/>
      <c r="Y41" s="2"/>
      <c r="Z41" s="5"/>
      <c r="AA41" s="68"/>
      <c r="AB41" s="25"/>
      <c r="AC41" s="5"/>
      <c r="AD41" s="34">
        <v>8.5</v>
      </c>
      <c r="AE41" s="5"/>
      <c r="AF41" s="38">
        <v>8.5</v>
      </c>
      <c r="AG41" s="2"/>
      <c r="AH41" s="2"/>
    </row>
    <row r="42" spans="1:34" ht="14.5" x14ac:dyDescent="0.35">
      <c r="A42" s="23">
        <v>16</v>
      </c>
      <c r="B42" s="22" t="s">
        <v>39</v>
      </c>
      <c r="C42" s="2" t="s">
        <v>45</v>
      </c>
      <c r="D42" s="2" t="s">
        <v>57</v>
      </c>
      <c r="E42" s="30" t="s">
        <v>74</v>
      </c>
      <c r="F42" s="78"/>
      <c r="G42" s="78"/>
      <c r="H42" s="2" t="s">
        <v>84</v>
      </c>
      <c r="I42" s="34" t="s">
        <v>8</v>
      </c>
      <c r="J42" s="36">
        <v>1309</v>
      </c>
      <c r="K42" s="25">
        <v>76.28</v>
      </c>
      <c r="L42" s="15">
        <f t="shared" si="1"/>
        <v>7.57</v>
      </c>
      <c r="M42" s="25">
        <v>3</v>
      </c>
      <c r="N42" s="70">
        <f t="shared" si="2"/>
        <v>43.301564411816116</v>
      </c>
      <c r="O42" s="5"/>
      <c r="P42" s="9"/>
      <c r="Q42" s="41"/>
      <c r="R42" s="12"/>
      <c r="S42" s="2"/>
      <c r="T42" s="5"/>
      <c r="U42" s="2"/>
      <c r="V42" s="5"/>
      <c r="W42" s="68"/>
      <c r="X42" s="25"/>
      <c r="Y42" s="68"/>
      <c r="Z42" s="25"/>
      <c r="AA42" s="68"/>
      <c r="AB42" s="25"/>
      <c r="AC42" s="5"/>
      <c r="AD42" s="34">
        <v>3</v>
      </c>
      <c r="AE42" s="5"/>
      <c r="AF42" s="38">
        <v>3</v>
      </c>
      <c r="AG42" s="2"/>
      <c r="AH42" s="2"/>
    </row>
    <row r="43" spans="1:34" ht="14.5" x14ac:dyDescent="0.35">
      <c r="A43" s="23">
        <v>17</v>
      </c>
      <c r="B43" s="22" t="s">
        <v>39</v>
      </c>
      <c r="C43" s="2" t="s">
        <v>45</v>
      </c>
      <c r="D43" s="2" t="s">
        <v>57</v>
      </c>
      <c r="E43" s="31" t="s">
        <v>117</v>
      </c>
      <c r="F43" s="78"/>
      <c r="G43" s="78"/>
      <c r="H43" s="84" t="s">
        <v>24</v>
      </c>
      <c r="I43" s="34" t="s">
        <v>8</v>
      </c>
      <c r="J43" s="36">
        <v>1309</v>
      </c>
      <c r="K43" s="25">
        <v>76.28</v>
      </c>
      <c r="L43" s="2">
        <f t="shared" si="1"/>
        <v>8.57</v>
      </c>
      <c r="M43" s="25">
        <v>3.5</v>
      </c>
      <c r="N43" s="70">
        <f t="shared" si="2"/>
        <v>42.018615626638699</v>
      </c>
      <c r="O43" s="5"/>
      <c r="P43" s="9"/>
      <c r="Q43" s="41"/>
      <c r="R43" s="12"/>
      <c r="S43" s="2"/>
      <c r="T43" s="5"/>
      <c r="U43" s="2"/>
      <c r="V43" s="5"/>
      <c r="W43" s="2"/>
      <c r="X43" s="5"/>
      <c r="Y43" s="2"/>
      <c r="Z43" s="5"/>
      <c r="AA43" s="68"/>
      <c r="AB43" s="25"/>
      <c r="AC43" s="5"/>
      <c r="AD43" s="5"/>
      <c r="AE43" s="5"/>
      <c r="AF43" s="34">
        <v>3.5</v>
      </c>
      <c r="AG43" s="2"/>
      <c r="AH43" s="2"/>
    </row>
    <row r="44" spans="1:34" ht="14.5" x14ac:dyDescent="0.35">
      <c r="A44" s="23">
        <v>18</v>
      </c>
      <c r="B44" s="22" t="s">
        <v>42</v>
      </c>
      <c r="C44" s="2" t="s">
        <v>95</v>
      </c>
      <c r="D44" s="2" t="s">
        <v>128</v>
      </c>
      <c r="E44" s="31" t="s">
        <v>107</v>
      </c>
      <c r="F44" s="78"/>
      <c r="G44" s="78"/>
      <c r="H44" s="27" t="s">
        <v>24</v>
      </c>
      <c r="I44" s="34" t="s">
        <v>8</v>
      </c>
      <c r="J44" s="25">
        <f>1981+536</f>
        <v>2517</v>
      </c>
      <c r="K44" s="25">
        <f>133.77+23.89</f>
        <v>157.66000000000003</v>
      </c>
      <c r="L44" s="2">
        <f t="shared" si="1"/>
        <v>11.57</v>
      </c>
      <c r="M44" s="25">
        <v>5</v>
      </c>
      <c r="N44" s="70">
        <f t="shared" si="2"/>
        <v>36.942395027273875</v>
      </c>
      <c r="O44" s="5"/>
      <c r="P44" s="9"/>
      <c r="Q44" s="41"/>
      <c r="R44" s="12"/>
      <c r="S44" s="2"/>
      <c r="T44" s="5"/>
      <c r="U44" s="2"/>
      <c r="V44" s="5"/>
      <c r="W44" s="2"/>
      <c r="X44" s="5"/>
      <c r="Y44" s="68"/>
      <c r="Z44" s="25"/>
      <c r="AA44" s="68"/>
      <c r="AB44" s="25"/>
      <c r="AC44" s="5"/>
      <c r="AD44" s="5"/>
      <c r="AE44" s="5"/>
      <c r="AF44" s="34">
        <v>5</v>
      </c>
      <c r="AG44" s="2"/>
      <c r="AH44" s="2"/>
    </row>
    <row r="45" spans="1:34" ht="14.5" x14ac:dyDescent="0.35">
      <c r="A45" s="23">
        <v>19</v>
      </c>
      <c r="B45" s="22" t="s">
        <v>41</v>
      </c>
      <c r="C45" s="2" t="s">
        <v>46</v>
      </c>
      <c r="D45" s="2" t="s">
        <v>133</v>
      </c>
      <c r="E45" s="31" t="s">
        <v>113</v>
      </c>
      <c r="F45" s="2"/>
      <c r="G45" s="2"/>
      <c r="H45" s="27" t="s">
        <v>84</v>
      </c>
      <c r="I45" s="34" t="s">
        <v>8</v>
      </c>
      <c r="J45" s="25">
        <f>1205+1273</f>
        <v>2478</v>
      </c>
      <c r="K45" s="25">
        <f>94.35+95.85</f>
        <v>190.2</v>
      </c>
      <c r="L45" s="2">
        <f t="shared" si="1"/>
        <v>9.57</v>
      </c>
      <c r="M45" s="25">
        <v>4</v>
      </c>
      <c r="N45" s="70">
        <f t="shared" si="2"/>
        <v>31.170425867507888</v>
      </c>
      <c r="O45" s="5"/>
      <c r="P45" s="9"/>
      <c r="Q45" s="41"/>
      <c r="R45" s="12"/>
      <c r="S45" s="2"/>
      <c r="T45" s="5"/>
      <c r="U45" s="2"/>
      <c r="V45" s="5"/>
      <c r="W45" s="2"/>
      <c r="X45" s="5"/>
      <c r="Y45" s="2"/>
      <c r="Z45" s="5"/>
      <c r="AA45" s="68"/>
      <c r="AB45" s="25"/>
      <c r="AC45" s="5"/>
      <c r="AD45" s="5"/>
      <c r="AE45" s="5"/>
      <c r="AF45" s="34">
        <v>4</v>
      </c>
      <c r="AG45" s="2"/>
      <c r="AH45" s="2"/>
    </row>
    <row r="46" spans="1:34" ht="14.5" x14ac:dyDescent="0.35">
      <c r="A46" s="23">
        <v>20</v>
      </c>
      <c r="B46" s="25" t="s">
        <v>87</v>
      </c>
      <c r="C46" s="2" t="s">
        <v>94</v>
      </c>
      <c r="D46" s="2" t="s">
        <v>94</v>
      </c>
      <c r="E46" s="27" t="s">
        <v>111</v>
      </c>
      <c r="F46" s="78"/>
      <c r="G46" s="78"/>
      <c r="H46" s="85" t="s">
        <v>135</v>
      </c>
      <c r="I46" s="47" t="s">
        <v>25</v>
      </c>
      <c r="J46" s="71">
        <v>1302</v>
      </c>
      <c r="K46" s="46">
        <v>119.69</v>
      </c>
      <c r="L46" s="62">
        <f t="shared" si="1"/>
        <v>17.57</v>
      </c>
      <c r="M46" s="46">
        <v>8</v>
      </c>
      <c r="N46" s="70">
        <f t="shared" si="2"/>
        <v>23.891030996741581</v>
      </c>
      <c r="O46" s="77"/>
      <c r="P46" s="9"/>
      <c r="Q46" s="66"/>
      <c r="R46" s="63"/>
      <c r="S46" s="2"/>
      <c r="T46" s="5"/>
      <c r="U46" s="2"/>
      <c r="V46" s="5"/>
      <c r="W46" s="2"/>
      <c r="X46" s="5"/>
      <c r="Y46" s="2"/>
      <c r="Z46" s="5"/>
      <c r="AA46" s="68"/>
      <c r="AB46" s="25"/>
      <c r="AC46" s="5"/>
      <c r="AD46" s="5"/>
      <c r="AE46" s="5"/>
      <c r="AF46" s="65">
        <v>8</v>
      </c>
      <c r="AG46" s="2"/>
      <c r="AH46" s="2"/>
    </row>
    <row r="47" spans="1:34" ht="14.5" x14ac:dyDescent="0.35">
      <c r="A47" s="23">
        <v>21</v>
      </c>
      <c r="B47" s="22" t="s">
        <v>42</v>
      </c>
      <c r="C47" s="2" t="s">
        <v>46</v>
      </c>
      <c r="D47" s="2" t="s">
        <v>125</v>
      </c>
      <c r="E47" s="27" t="s">
        <v>104</v>
      </c>
      <c r="F47" s="78"/>
      <c r="G47" s="78"/>
      <c r="H47" s="27" t="s">
        <v>84</v>
      </c>
      <c r="I47" s="34" t="s">
        <v>8</v>
      </c>
      <c r="J47" s="25">
        <v>887</v>
      </c>
      <c r="K47" s="25">
        <v>97.5</v>
      </c>
      <c r="L47" s="2">
        <f t="shared" si="1"/>
        <v>7.67</v>
      </c>
      <c r="M47" s="25">
        <v>3.05</v>
      </c>
      <c r="N47" s="70">
        <f t="shared" si="2"/>
        <v>22.877814207650275</v>
      </c>
      <c r="O47" s="5"/>
      <c r="P47" s="9"/>
      <c r="Q47" s="41"/>
      <c r="R47" s="12"/>
      <c r="S47" s="2"/>
      <c r="T47" s="5"/>
      <c r="U47" s="2"/>
      <c r="V47" s="5"/>
      <c r="W47" s="68"/>
      <c r="X47" s="46"/>
      <c r="Y47" s="68"/>
      <c r="Z47" s="46"/>
      <c r="AA47" s="68"/>
      <c r="AB47" s="46"/>
      <c r="AC47" s="5"/>
      <c r="AD47" s="5"/>
      <c r="AE47" s="5"/>
      <c r="AF47" s="34">
        <v>3.05</v>
      </c>
      <c r="AG47" s="2"/>
      <c r="AH47" s="2"/>
    </row>
    <row r="48" spans="1:34" ht="14.4" customHeight="1" x14ac:dyDescent="0.3">
      <c r="A48" s="499" t="s">
        <v>142</v>
      </c>
      <c r="B48" s="499"/>
      <c r="C48" s="499"/>
      <c r="D48" s="499"/>
      <c r="E48" s="499"/>
      <c r="F48" s="499"/>
      <c r="G48" s="499"/>
      <c r="H48" s="499"/>
      <c r="I48" s="499"/>
      <c r="J48" s="499"/>
      <c r="K48" s="499"/>
      <c r="L48" s="499"/>
      <c r="M48" s="499"/>
      <c r="N48" s="499"/>
      <c r="O48" s="499"/>
      <c r="P48" s="499"/>
      <c r="Q48" s="499"/>
      <c r="R48" s="345" t="s">
        <v>17</v>
      </c>
      <c r="S48" s="48"/>
      <c r="T48" s="48"/>
      <c r="U48" s="43"/>
      <c r="V48" s="50">
        <f>SUM(V8:V18)</f>
        <v>46.85</v>
      </c>
      <c r="W48" s="43"/>
      <c r="X48" s="51">
        <f>SUM(X8:X25)</f>
        <v>62.95000000000001</v>
      </c>
      <c r="Y48" s="43"/>
      <c r="Z48" s="51">
        <f>SUM(Z27:Z29,Z8:Z25)</f>
        <v>76.7</v>
      </c>
      <c r="AA48" s="43"/>
      <c r="AB48" s="52">
        <f>SUM(AB27:AB32,AB19:AB25)</f>
        <v>53.850000000000009</v>
      </c>
      <c r="AC48" s="52"/>
      <c r="AD48" s="52">
        <f>SUM(AD27:AD37,AD8:AD18)</f>
        <v>105.90000000000002</v>
      </c>
      <c r="AE48" s="52"/>
      <c r="AF48" s="52">
        <f>SUM(AF30:AF42,AF8:AF25)</f>
        <v>134.85000000000002</v>
      </c>
      <c r="AG48" s="53"/>
      <c r="AH48" s="53">
        <f>T48+V48+X48+Z48+AB48+AD48+AF48</f>
        <v>481.10000000000008</v>
      </c>
    </row>
    <row r="49" spans="1:34" x14ac:dyDescent="0.3">
      <c r="A49" s="499"/>
      <c r="B49" s="499"/>
      <c r="C49" s="499"/>
      <c r="D49" s="499"/>
      <c r="E49" s="499"/>
      <c r="F49" s="499"/>
      <c r="G49" s="499"/>
      <c r="H49" s="499"/>
      <c r="I49" s="499"/>
      <c r="J49" s="499"/>
      <c r="K49" s="499"/>
      <c r="L49" s="499"/>
      <c r="M49" s="499"/>
      <c r="N49" s="499"/>
      <c r="O49" s="499"/>
      <c r="P49" s="499"/>
      <c r="Q49" s="499"/>
      <c r="R49" s="346" t="s">
        <v>18</v>
      </c>
      <c r="S49" s="44"/>
      <c r="T49" s="7">
        <f>T8+T9+T10+T14</f>
        <v>26.65</v>
      </c>
      <c r="U49" s="7"/>
      <c r="V49" s="7"/>
      <c r="W49" s="7"/>
      <c r="X49" s="7"/>
      <c r="Y49" s="7"/>
      <c r="Z49" s="7"/>
      <c r="AA49" s="44"/>
      <c r="AB49" s="8">
        <f>SUM(AB8:AB18)</f>
        <v>46.85</v>
      </c>
      <c r="AC49" s="8"/>
      <c r="AD49" s="8">
        <f>SUM(AD48,AD19:AD25)</f>
        <v>122.00000000000003</v>
      </c>
      <c r="AE49" s="8"/>
      <c r="AF49" s="8">
        <f>SUM(AF27:AF29)</f>
        <v>13.75</v>
      </c>
      <c r="AG49" s="349"/>
      <c r="AH49" s="349">
        <f>T49+V49+X49+Z49+AB49+AD49+AF49</f>
        <v>209.25000000000003</v>
      </c>
    </row>
    <row r="50" spans="1:34" x14ac:dyDescent="0.3">
      <c r="A50" s="499"/>
      <c r="B50" s="499"/>
      <c r="C50" s="499"/>
      <c r="D50" s="499"/>
      <c r="E50" s="499"/>
      <c r="F50" s="499"/>
      <c r="G50" s="499"/>
      <c r="H50" s="499"/>
      <c r="I50" s="499"/>
      <c r="J50" s="499"/>
      <c r="K50" s="499"/>
      <c r="L50" s="499"/>
      <c r="M50" s="499"/>
      <c r="N50" s="499"/>
      <c r="O50" s="499"/>
      <c r="P50" s="499"/>
      <c r="Q50" s="499"/>
      <c r="R50" s="347" t="s">
        <v>19</v>
      </c>
      <c r="S50" s="9"/>
      <c r="T50" s="49">
        <f>T11+T12+T13+T15+T16+T17+T18</f>
        <v>20.2</v>
      </c>
      <c r="U50" s="9"/>
      <c r="V50" s="4"/>
      <c r="W50" s="9"/>
      <c r="X50" s="4">
        <f>SUM(X27:X29)</f>
        <v>13.75</v>
      </c>
      <c r="Y50" s="9"/>
      <c r="Z50" s="4">
        <f>SUM(Z30:Z32)</f>
        <v>24.000000000000004</v>
      </c>
      <c r="AA50" s="9"/>
      <c r="AB50" s="4">
        <f>SUM(AB33:AB37)</f>
        <v>21.3</v>
      </c>
      <c r="AC50" s="4"/>
      <c r="AD50" s="4">
        <f>SUM(AD38:AD42)</f>
        <v>26.6</v>
      </c>
      <c r="AE50" s="4"/>
      <c r="AF50" s="4">
        <f>SUM(AF43:AF47)</f>
        <v>23.55</v>
      </c>
      <c r="AG50" s="348"/>
      <c r="AH50" s="348">
        <f>T50+V50+X50+Z50+AB50+AD50+AF50</f>
        <v>129.4</v>
      </c>
    </row>
    <row r="51" spans="1:34" x14ac:dyDescent="0.3">
      <c r="A51" s="499"/>
      <c r="B51" s="499"/>
      <c r="C51" s="499"/>
      <c r="D51" s="499"/>
      <c r="E51" s="499"/>
      <c r="F51" s="499"/>
      <c r="G51" s="499"/>
      <c r="H51" s="499"/>
      <c r="I51" s="499"/>
      <c r="J51" s="499"/>
      <c r="K51" s="499"/>
      <c r="L51" s="499"/>
      <c r="M51" s="499"/>
      <c r="N51" s="499"/>
      <c r="O51" s="499"/>
      <c r="P51" s="499"/>
      <c r="Q51" s="499"/>
      <c r="R51" s="199" t="s">
        <v>20</v>
      </c>
      <c r="S51" s="11"/>
      <c r="T51" s="54">
        <f>SUM(T48:T50)</f>
        <v>46.849999999999994</v>
      </c>
      <c r="U51" s="54"/>
      <c r="V51" s="54">
        <f t="shared" ref="V51:AF51" si="3">SUM(V48:V50)</f>
        <v>46.85</v>
      </c>
      <c r="W51" s="54"/>
      <c r="X51" s="54">
        <f t="shared" si="3"/>
        <v>76.700000000000017</v>
      </c>
      <c r="Y51" s="54"/>
      <c r="Z51" s="54">
        <f t="shared" si="3"/>
        <v>100.7</v>
      </c>
      <c r="AA51" s="54"/>
      <c r="AB51" s="54">
        <f t="shared" si="3"/>
        <v>122.00000000000001</v>
      </c>
      <c r="AC51" s="54"/>
      <c r="AD51" s="54">
        <f t="shared" si="3"/>
        <v>254.50000000000003</v>
      </c>
      <c r="AE51" s="54"/>
      <c r="AF51" s="54">
        <f t="shared" si="3"/>
        <v>172.15000000000003</v>
      </c>
      <c r="AG51" s="11"/>
      <c r="AH51" s="10"/>
    </row>
  </sheetData>
  <sortState xmlns:xlrd2="http://schemas.microsoft.com/office/spreadsheetml/2017/richdata2" ref="A27:N52">
    <sortCondition descending="1" ref="N27:N52"/>
  </sortState>
  <mergeCells count="49">
    <mergeCell ref="A48:Q51"/>
    <mergeCell ref="AA3:AF3"/>
    <mergeCell ref="AC6:AC7"/>
    <mergeCell ref="AD6:AD7"/>
    <mergeCell ref="AE4:AF5"/>
    <mergeCell ref="AE6:AE7"/>
    <mergeCell ref="AF6:AF7"/>
    <mergeCell ref="S6:S7"/>
    <mergeCell ref="T6:T7"/>
    <mergeCell ref="U6:U7"/>
    <mergeCell ref="V6:V7"/>
    <mergeCell ref="N2:N7"/>
    <mergeCell ref="O2:O7"/>
    <mergeCell ref="S2:AH2"/>
    <mergeCell ref="S4:T5"/>
    <mergeCell ref="U4:V5"/>
    <mergeCell ref="W4:X5"/>
    <mergeCell ref="Y4:Z5"/>
    <mergeCell ref="AA4:AB5"/>
    <mergeCell ref="AG4:AH5"/>
    <mergeCell ref="S3:V3"/>
    <mergeCell ref="W3:Z3"/>
    <mergeCell ref="AC4:AD5"/>
    <mergeCell ref="AH6:AH7"/>
    <mergeCell ref="Y6:Y7"/>
    <mergeCell ref="Z6:Z7"/>
    <mergeCell ref="AA6:AA7"/>
    <mergeCell ref="W6:W7"/>
    <mergeCell ref="X6:X7"/>
    <mergeCell ref="AB6:AB7"/>
    <mergeCell ref="AG6:AG7"/>
    <mergeCell ref="A2:A7"/>
    <mergeCell ref="B2:B7"/>
    <mergeCell ref="C2:C7"/>
    <mergeCell ref="D2:D7"/>
    <mergeCell ref="E2:E7"/>
    <mergeCell ref="F2:G3"/>
    <mergeCell ref="F4:F7"/>
    <mergeCell ref="G4:G7"/>
    <mergeCell ref="H4:H7"/>
    <mergeCell ref="H2:I3"/>
    <mergeCell ref="J2:J7"/>
    <mergeCell ref="Q2:R3"/>
    <mergeCell ref="K2:K7"/>
    <mergeCell ref="M2:M7"/>
    <mergeCell ref="Q4:Q7"/>
    <mergeCell ref="R4:R7"/>
    <mergeCell ref="L2:L7"/>
    <mergeCell ref="P2:P7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AK54"/>
  <sheetViews>
    <sheetView zoomScale="50" zoomScaleNormal="50" workbookViewId="0">
      <pane xSplit="10" ySplit="8" topLeftCell="K42" activePane="bottomRight" state="frozen"/>
      <selection pane="topRight" activeCell="K1" sqref="K1"/>
      <selection pane="bottomLeft" activeCell="A8" sqref="A8"/>
      <selection pane="bottomRight" activeCell="F48" sqref="F48:I48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4" customWidth="1"/>
    <col min="13" max="15" width="12" style="1" customWidth="1"/>
    <col min="16" max="16" width="13" style="1" customWidth="1"/>
    <col min="17" max="18" width="12" style="1" customWidth="1"/>
    <col min="19" max="19" width="12" style="6" customWidth="1"/>
    <col min="20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510" t="s">
        <v>152</v>
      </c>
      <c r="B1" s="510"/>
      <c r="C1" s="510"/>
      <c r="D1" s="510"/>
      <c r="E1" s="510"/>
      <c r="F1" s="510"/>
      <c r="G1" s="510"/>
      <c r="H1" s="510"/>
      <c r="I1" s="510"/>
      <c r="J1" s="510"/>
      <c r="K1" s="510"/>
      <c r="L1" s="510"/>
      <c r="M1" s="510"/>
      <c r="N1" s="510"/>
      <c r="O1" s="510"/>
      <c r="P1" s="510"/>
      <c r="Q1" s="510"/>
      <c r="R1" s="510"/>
      <c r="S1" s="510"/>
      <c r="T1" s="510"/>
      <c r="U1" s="510"/>
      <c r="V1" s="510"/>
      <c r="W1" s="510"/>
      <c r="X1" s="510"/>
      <c r="Y1" s="510"/>
      <c r="Z1" s="510"/>
      <c r="AA1" s="510"/>
      <c r="AB1" s="510"/>
      <c r="AC1" s="510"/>
      <c r="AD1" s="510"/>
      <c r="AE1" s="510"/>
      <c r="AF1" s="510"/>
      <c r="AG1" s="510"/>
      <c r="AH1" s="510"/>
      <c r="AI1" s="510"/>
      <c r="AJ1" s="510"/>
      <c r="AK1" s="510"/>
    </row>
    <row r="2" spans="1:37" ht="46.25" customHeight="1" thickBot="1" x14ac:dyDescent="0.35">
      <c r="O2" s="91">
        <f>((3.14*2^2)/4)/2</f>
        <v>1.57</v>
      </c>
    </row>
    <row r="3" spans="1:37" ht="34.25" customHeight="1" x14ac:dyDescent="0.3">
      <c r="A3" s="511" t="s">
        <v>33</v>
      </c>
      <c r="B3" s="514" t="s">
        <v>34</v>
      </c>
      <c r="C3" s="517" t="s">
        <v>0</v>
      </c>
      <c r="D3" s="520" t="s">
        <v>150</v>
      </c>
      <c r="E3" s="520" t="s">
        <v>2</v>
      </c>
      <c r="F3" s="520" t="s">
        <v>3</v>
      </c>
      <c r="G3" s="520"/>
      <c r="H3" s="520" t="s">
        <v>147</v>
      </c>
      <c r="I3" s="520"/>
      <c r="J3" s="534" t="s">
        <v>6</v>
      </c>
      <c r="K3" s="529" t="s">
        <v>26</v>
      </c>
      <c r="L3" s="529"/>
      <c r="M3" s="531" t="s">
        <v>27</v>
      </c>
      <c r="N3" s="531" t="s">
        <v>28</v>
      </c>
      <c r="O3" s="542" t="s">
        <v>32</v>
      </c>
      <c r="P3" s="545" t="s">
        <v>139</v>
      </c>
      <c r="Q3" s="537" t="s">
        <v>143</v>
      </c>
      <c r="R3" s="537" t="s">
        <v>148</v>
      </c>
      <c r="S3" s="572" t="s">
        <v>9</v>
      </c>
      <c r="T3" s="572"/>
      <c r="U3" s="531" t="s">
        <v>151</v>
      </c>
      <c r="V3" s="574" t="s">
        <v>149</v>
      </c>
      <c r="W3" s="575"/>
      <c r="X3" s="575"/>
      <c r="Y3" s="575"/>
      <c r="Z3" s="575"/>
      <c r="AA3" s="575"/>
      <c r="AB3" s="575"/>
      <c r="AC3" s="575"/>
      <c r="AD3" s="575"/>
      <c r="AE3" s="575"/>
      <c r="AF3" s="575"/>
      <c r="AG3" s="575"/>
      <c r="AH3" s="575"/>
      <c r="AI3" s="575"/>
      <c r="AJ3" s="575"/>
      <c r="AK3" s="576"/>
    </row>
    <row r="4" spans="1:37" ht="42" customHeight="1" x14ac:dyDescent="0.3">
      <c r="A4" s="512"/>
      <c r="B4" s="515"/>
      <c r="C4" s="518"/>
      <c r="D4" s="521"/>
      <c r="E4" s="521"/>
      <c r="F4" s="521"/>
      <c r="G4" s="521"/>
      <c r="H4" s="521"/>
      <c r="I4" s="521"/>
      <c r="J4" s="535"/>
      <c r="K4" s="530"/>
      <c r="L4" s="530"/>
      <c r="M4" s="532"/>
      <c r="N4" s="532"/>
      <c r="O4" s="543"/>
      <c r="P4" s="546"/>
      <c r="Q4" s="538"/>
      <c r="R4" s="538"/>
      <c r="S4" s="573"/>
      <c r="T4" s="573"/>
      <c r="U4" s="532"/>
      <c r="V4" s="577" t="s">
        <v>21</v>
      </c>
      <c r="W4" s="577"/>
      <c r="X4" s="577"/>
      <c r="Y4" s="577"/>
      <c r="Z4" s="550" t="s">
        <v>22</v>
      </c>
      <c r="AA4" s="550"/>
      <c r="AB4" s="550"/>
      <c r="AC4" s="550"/>
      <c r="AD4" s="550"/>
      <c r="AE4" s="550"/>
      <c r="AF4" s="548" t="s">
        <v>19</v>
      </c>
      <c r="AG4" s="548"/>
      <c r="AH4" s="548"/>
      <c r="AI4" s="548"/>
      <c r="AJ4" s="548"/>
      <c r="AK4" s="549"/>
    </row>
    <row r="5" spans="1:37" ht="30" customHeight="1" x14ac:dyDescent="0.45">
      <c r="A5" s="512"/>
      <c r="B5" s="515"/>
      <c r="C5" s="518"/>
      <c r="D5" s="521"/>
      <c r="E5" s="521"/>
      <c r="F5" s="527" t="s">
        <v>4</v>
      </c>
      <c r="G5" s="527" t="s">
        <v>5</v>
      </c>
      <c r="H5" s="527" t="s">
        <v>4</v>
      </c>
      <c r="I5" s="527" t="s">
        <v>5</v>
      </c>
      <c r="J5" s="535"/>
      <c r="K5" s="540" t="s">
        <v>7</v>
      </c>
      <c r="L5" s="195" t="s">
        <v>14</v>
      </c>
      <c r="M5" s="532"/>
      <c r="N5" s="532"/>
      <c r="O5" s="543"/>
      <c r="P5" s="546"/>
      <c r="Q5" s="538"/>
      <c r="R5" s="538"/>
      <c r="S5" s="578" t="s">
        <v>10</v>
      </c>
      <c r="T5" s="580" t="s">
        <v>11</v>
      </c>
      <c r="U5" s="532"/>
      <c r="V5" s="551">
        <v>2021</v>
      </c>
      <c r="W5" s="552"/>
      <c r="X5" s="551">
        <v>2022</v>
      </c>
      <c r="Y5" s="552"/>
      <c r="Z5" s="555">
        <v>2023</v>
      </c>
      <c r="AA5" s="556"/>
      <c r="AB5" s="555">
        <v>2024</v>
      </c>
      <c r="AC5" s="556"/>
      <c r="AD5" s="555">
        <v>2025</v>
      </c>
      <c r="AE5" s="556"/>
      <c r="AF5" s="555">
        <v>2026</v>
      </c>
      <c r="AG5" s="556"/>
      <c r="AH5" s="555">
        <v>2027</v>
      </c>
      <c r="AI5" s="556"/>
      <c r="AJ5" s="555" t="s">
        <v>11</v>
      </c>
      <c r="AK5" s="559"/>
    </row>
    <row r="6" spans="1:37" ht="30" customHeight="1" x14ac:dyDescent="0.45">
      <c r="A6" s="512"/>
      <c r="B6" s="515"/>
      <c r="C6" s="518"/>
      <c r="D6" s="521"/>
      <c r="E6" s="521"/>
      <c r="F6" s="527"/>
      <c r="G6" s="527"/>
      <c r="H6" s="527"/>
      <c r="I6" s="527"/>
      <c r="J6" s="535"/>
      <c r="K6" s="540"/>
      <c r="L6" s="196" t="s">
        <v>15</v>
      </c>
      <c r="M6" s="532"/>
      <c r="N6" s="532"/>
      <c r="O6" s="543"/>
      <c r="P6" s="546"/>
      <c r="Q6" s="538"/>
      <c r="R6" s="538"/>
      <c r="S6" s="578"/>
      <c r="T6" s="580"/>
      <c r="U6" s="532"/>
      <c r="V6" s="553"/>
      <c r="W6" s="554"/>
      <c r="X6" s="553"/>
      <c r="Y6" s="554"/>
      <c r="Z6" s="557"/>
      <c r="AA6" s="558"/>
      <c r="AB6" s="557"/>
      <c r="AC6" s="558"/>
      <c r="AD6" s="557"/>
      <c r="AE6" s="558"/>
      <c r="AF6" s="557"/>
      <c r="AG6" s="558"/>
      <c r="AH6" s="557"/>
      <c r="AI6" s="558"/>
      <c r="AJ6" s="557"/>
      <c r="AK6" s="560"/>
    </row>
    <row r="7" spans="1:37" ht="30" customHeight="1" x14ac:dyDescent="0.45">
      <c r="A7" s="512"/>
      <c r="B7" s="515"/>
      <c r="C7" s="518"/>
      <c r="D7" s="521"/>
      <c r="E7" s="521"/>
      <c r="F7" s="527"/>
      <c r="G7" s="527"/>
      <c r="H7" s="527"/>
      <c r="I7" s="527"/>
      <c r="J7" s="535"/>
      <c r="K7" s="540"/>
      <c r="L7" s="197" t="s">
        <v>16</v>
      </c>
      <c r="M7" s="532"/>
      <c r="N7" s="532"/>
      <c r="O7" s="543"/>
      <c r="P7" s="546"/>
      <c r="Q7" s="538"/>
      <c r="R7" s="538"/>
      <c r="S7" s="578"/>
      <c r="T7" s="580"/>
      <c r="U7" s="532"/>
      <c r="V7" s="525" t="s">
        <v>12</v>
      </c>
      <c r="W7" s="525" t="s">
        <v>13</v>
      </c>
      <c r="X7" s="525" t="s">
        <v>12</v>
      </c>
      <c r="Y7" s="525" t="s">
        <v>13</v>
      </c>
      <c r="Z7" s="525" t="s">
        <v>12</v>
      </c>
      <c r="AA7" s="525" t="s">
        <v>13</v>
      </c>
      <c r="AB7" s="525" t="s">
        <v>12</v>
      </c>
      <c r="AC7" s="525" t="s">
        <v>13</v>
      </c>
      <c r="AD7" s="525" t="s">
        <v>12</v>
      </c>
      <c r="AE7" s="523" t="s">
        <v>13</v>
      </c>
      <c r="AF7" s="525" t="s">
        <v>12</v>
      </c>
      <c r="AG7" s="523" t="s">
        <v>13</v>
      </c>
      <c r="AH7" s="525" t="s">
        <v>12</v>
      </c>
      <c r="AI7" s="523" t="s">
        <v>13</v>
      </c>
      <c r="AJ7" s="561" t="s">
        <v>12</v>
      </c>
      <c r="AK7" s="582" t="s">
        <v>13</v>
      </c>
    </row>
    <row r="8" spans="1:37" ht="30" customHeight="1" thickBot="1" x14ac:dyDescent="0.5">
      <c r="A8" s="513"/>
      <c r="B8" s="516"/>
      <c r="C8" s="519"/>
      <c r="D8" s="522"/>
      <c r="E8" s="522"/>
      <c r="F8" s="528"/>
      <c r="G8" s="528"/>
      <c r="H8" s="528"/>
      <c r="I8" s="528"/>
      <c r="J8" s="536"/>
      <c r="K8" s="541"/>
      <c r="L8" s="198"/>
      <c r="M8" s="533"/>
      <c r="N8" s="533"/>
      <c r="O8" s="544"/>
      <c r="P8" s="547"/>
      <c r="Q8" s="539"/>
      <c r="R8" s="539"/>
      <c r="S8" s="579"/>
      <c r="T8" s="581"/>
      <c r="U8" s="533"/>
      <c r="V8" s="526"/>
      <c r="W8" s="526"/>
      <c r="X8" s="526"/>
      <c r="Y8" s="526"/>
      <c r="Z8" s="526"/>
      <c r="AA8" s="526"/>
      <c r="AB8" s="526"/>
      <c r="AC8" s="526"/>
      <c r="AD8" s="526"/>
      <c r="AE8" s="524"/>
      <c r="AF8" s="526"/>
      <c r="AG8" s="524"/>
      <c r="AH8" s="526"/>
      <c r="AI8" s="524"/>
      <c r="AJ8" s="562"/>
      <c r="AK8" s="583"/>
    </row>
    <row r="9" spans="1:37" ht="33" customHeight="1" x14ac:dyDescent="0.3">
      <c r="A9" s="245">
        <v>1</v>
      </c>
      <c r="B9" s="203" t="s">
        <v>35</v>
      </c>
      <c r="C9" s="204" t="s">
        <v>43</v>
      </c>
      <c r="D9" s="204" t="s">
        <v>47</v>
      </c>
      <c r="E9" s="205" t="s">
        <v>63</v>
      </c>
      <c r="F9" s="246"/>
      <c r="G9" s="206"/>
      <c r="H9" s="206"/>
      <c r="I9" s="206"/>
      <c r="J9" s="203">
        <v>7</v>
      </c>
      <c r="K9" s="204" t="s">
        <v>82</v>
      </c>
      <c r="L9" s="247" t="s">
        <v>85</v>
      </c>
      <c r="M9" s="203">
        <f>3376+1819</f>
        <v>5195</v>
      </c>
      <c r="N9" s="203">
        <f>22.73+23.09</f>
        <v>45.82</v>
      </c>
      <c r="O9" s="207">
        <f>(J9*2)+$O$2</f>
        <v>15.57</v>
      </c>
      <c r="P9" s="208">
        <f>(M9/N9)*O9</f>
        <v>1765.3022697512006</v>
      </c>
      <c r="Q9" s="209"/>
      <c r="R9" s="210"/>
      <c r="S9" s="211">
        <v>5000</v>
      </c>
      <c r="T9" s="204"/>
      <c r="U9" s="212"/>
      <c r="V9" s="203"/>
      <c r="W9" s="213"/>
      <c r="X9" s="203"/>
      <c r="Y9" s="213"/>
      <c r="Z9" s="214">
        <f>5000*AA9</f>
        <v>35000</v>
      </c>
      <c r="AA9" s="215">
        <f t="shared" ref="AA9:AA25" si="0">J9</f>
        <v>7</v>
      </c>
      <c r="AB9" s="214">
        <f>5000*AC9</f>
        <v>35000</v>
      </c>
      <c r="AC9" s="215">
        <f>AA9</f>
        <v>7</v>
      </c>
      <c r="AD9" s="214">
        <f>5000*AE9</f>
        <v>35000</v>
      </c>
      <c r="AE9" s="216">
        <f>AC9</f>
        <v>7</v>
      </c>
      <c r="AF9" s="217">
        <f>31250*AG9</f>
        <v>218750</v>
      </c>
      <c r="AG9" s="218">
        <f>AE9</f>
        <v>7</v>
      </c>
      <c r="AH9" s="214">
        <f>5000*AI9</f>
        <v>35000</v>
      </c>
      <c r="AI9" s="219">
        <f>AG9</f>
        <v>7</v>
      </c>
      <c r="AJ9" s="220"/>
      <c r="AK9" s="221"/>
    </row>
    <row r="10" spans="1:37" ht="33" customHeight="1" thickBot="1" x14ac:dyDescent="0.35">
      <c r="A10" s="130">
        <v>2</v>
      </c>
      <c r="B10" s="131" t="s">
        <v>36</v>
      </c>
      <c r="C10" s="132" t="s">
        <v>43</v>
      </c>
      <c r="D10" s="132" t="s">
        <v>48</v>
      </c>
      <c r="E10" s="133" t="s">
        <v>64</v>
      </c>
      <c r="F10" s="134"/>
      <c r="G10" s="134"/>
      <c r="H10" s="134"/>
      <c r="I10" s="134"/>
      <c r="J10" s="135">
        <v>6.5</v>
      </c>
      <c r="K10" s="132" t="s">
        <v>82</v>
      </c>
      <c r="L10" s="136" t="s">
        <v>85</v>
      </c>
      <c r="M10" s="135">
        <f>3376+1819+952</f>
        <v>6147</v>
      </c>
      <c r="N10" s="135">
        <f>22.73+23.09+11.4</f>
        <v>57.22</v>
      </c>
      <c r="O10" s="137">
        <f t="shared" ref="O10:O25" si="1">(J10*2)+$O$2</f>
        <v>14.57</v>
      </c>
      <c r="P10" s="125">
        <f t="shared" ref="P10:P25" si="2">(M10/N10)*O10</f>
        <v>1565.218280321566</v>
      </c>
      <c r="Q10" s="138"/>
      <c r="R10" s="139"/>
      <c r="S10" s="126">
        <v>5000</v>
      </c>
      <c r="T10" s="132"/>
      <c r="U10" s="127"/>
      <c r="V10" s="135"/>
      <c r="W10" s="200"/>
      <c r="X10" s="135"/>
      <c r="Y10" s="200"/>
      <c r="Z10" s="128">
        <f t="shared" ref="Z10:Z25" si="3">5000*AA10</f>
        <v>32500</v>
      </c>
      <c r="AA10" s="140">
        <f t="shared" si="0"/>
        <v>6.5</v>
      </c>
      <c r="AB10" s="128">
        <f t="shared" ref="AB10:AB25" si="4">5000*AC10</f>
        <v>32500</v>
      </c>
      <c r="AC10" s="140">
        <f t="shared" ref="AC10:AC25" si="5">AA10</f>
        <v>6.5</v>
      </c>
      <c r="AD10" s="128">
        <f t="shared" ref="AD10:AD25" si="6">5000*AE10</f>
        <v>32500</v>
      </c>
      <c r="AE10" s="141">
        <f t="shared" ref="AE10:AE25" si="7">AC10</f>
        <v>6.5</v>
      </c>
      <c r="AF10" s="129">
        <f t="shared" ref="AF10:AF25" si="8">31250*AG10</f>
        <v>203125</v>
      </c>
      <c r="AG10" s="142">
        <f t="shared" ref="AG10:AG25" si="9">AE10</f>
        <v>6.5</v>
      </c>
      <c r="AH10" s="128">
        <f t="shared" ref="AH10:AH25" si="10">5000*AI10</f>
        <v>32500</v>
      </c>
      <c r="AI10" s="143">
        <f t="shared" ref="AI10:AI25" si="11">AG10</f>
        <v>6.5</v>
      </c>
      <c r="AJ10" s="144"/>
      <c r="AK10" s="222"/>
    </row>
    <row r="11" spans="1:37" ht="33" customHeight="1" x14ac:dyDescent="0.3">
      <c r="A11" s="245">
        <v>3</v>
      </c>
      <c r="B11" s="131" t="s">
        <v>37</v>
      </c>
      <c r="C11" s="132" t="s">
        <v>44</v>
      </c>
      <c r="D11" s="132" t="s">
        <v>49</v>
      </c>
      <c r="E11" s="133" t="s">
        <v>65</v>
      </c>
      <c r="F11" s="134"/>
      <c r="G11" s="134"/>
      <c r="H11" s="134"/>
      <c r="I11" s="134"/>
      <c r="J11" s="135">
        <v>10.5</v>
      </c>
      <c r="K11" s="132" t="s">
        <v>82</v>
      </c>
      <c r="L11" s="136" t="s">
        <v>85</v>
      </c>
      <c r="M11" s="135">
        <v>1077</v>
      </c>
      <c r="N11" s="135">
        <v>42.11</v>
      </c>
      <c r="O11" s="137">
        <f t="shared" si="1"/>
        <v>22.57</v>
      </c>
      <c r="P11" s="125">
        <f t="shared" si="2"/>
        <v>577.24744716219425</v>
      </c>
      <c r="Q11" s="138"/>
      <c r="R11" s="139"/>
      <c r="S11" s="126">
        <v>5000</v>
      </c>
      <c r="T11" s="132"/>
      <c r="U11" s="127"/>
      <c r="V11" s="135"/>
      <c r="W11" s="200"/>
      <c r="X11" s="135"/>
      <c r="Y11" s="200"/>
      <c r="Z11" s="128">
        <f t="shared" si="3"/>
        <v>52500</v>
      </c>
      <c r="AA11" s="140">
        <f t="shared" si="0"/>
        <v>10.5</v>
      </c>
      <c r="AB11" s="128">
        <f t="shared" si="4"/>
        <v>52500</v>
      </c>
      <c r="AC11" s="140">
        <f t="shared" si="5"/>
        <v>10.5</v>
      </c>
      <c r="AD11" s="128">
        <f t="shared" si="6"/>
        <v>52500</v>
      </c>
      <c r="AE11" s="141">
        <f t="shared" si="7"/>
        <v>10.5</v>
      </c>
      <c r="AF11" s="129">
        <f t="shared" si="8"/>
        <v>328125</v>
      </c>
      <c r="AG11" s="142">
        <f t="shared" si="9"/>
        <v>10.5</v>
      </c>
      <c r="AH11" s="128">
        <f t="shared" si="10"/>
        <v>52500</v>
      </c>
      <c r="AI11" s="143">
        <f t="shared" si="11"/>
        <v>10.5</v>
      </c>
      <c r="AJ11" s="144"/>
      <c r="AK11" s="222"/>
    </row>
    <row r="12" spans="1:37" ht="33" customHeight="1" thickBot="1" x14ac:dyDescent="0.35">
      <c r="A12" s="130">
        <v>4</v>
      </c>
      <c r="B12" s="135" t="s">
        <v>38</v>
      </c>
      <c r="C12" s="132" t="s">
        <v>45</v>
      </c>
      <c r="D12" s="132" t="s">
        <v>50</v>
      </c>
      <c r="E12" s="133" t="s">
        <v>66</v>
      </c>
      <c r="F12" s="134"/>
      <c r="G12" s="134"/>
      <c r="H12" s="134"/>
      <c r="I12" s="134"/>
      <c r="J12" s="135">
        <v>2.5</v>
      </c>
      <c r="K12" s="132" t="s">
        <v>137</v>
      </c>
      <c r="L12" s="146" t="s">
        <v>8</v>
      </c>
      <c r="M12" s="135">
        <f>15935+3078</f>
        <v>19013</v>
      </c>
      <c r="N12" s="135">
        <f>104.77+37.12</f>
        <v>141.88999999999999</v>
      </c>
      <c r="O12" s="137">
        <f t="shared" si="1"/>
        <v>6.57</v>
      </c>
      <c r="P12" s="125">
        <f t="shared" si="2"/>
        <v>880.36796109662419</v>
      </c>
      <c r="Q12" s="138"/>
      <c r="R12" s="139"/>
      <c r="S12" s="126">
        <v>5000</v>
      </c>
      <c r="T12" s="132"/>
      <c r="U12" s="127"/>
      <c r="V12" s="135"/>
      <c r="W12" s="200"/>
      <c r="X12" s="135"/>
      <c r="Y12" s="200"/>
      <c r="Z12" s="128">
        <f t="shared" si="3"/>
        <v>12500</v>
      </c>
      <c r="AA12" s="140">
        <f t="shared" si="0"/>
        <v>2.5</v>
      </c>
      <c r="AB12" s="128">
        <f t="shared" si="4"/>
        <v>12500</v>
      </c>
      <c r="AC12" s="140">
        <f t="shared" si="5"/>
        <v>2.5</v>
      </c>
      <c r="AD12" s="128">
        <f t="shared" si="6"/>
        <v>12500</v>
      </c>
      <c r="AE12" s="141">
        <f t="shared" si="7"/>
        <v>2.5</v>
      </c>
      <c r="AF12" s="129">
        <f t="shared" si="8"/>
        <v>78125</v>
      </c>
      <c r="AG12" s="142">
        <f t="shared" si="9"/>
        <v>2.5</v>
      </c>
      <c r="AH12" s="128">
        <f t="shared" si="10"/>
        <v>12500</v>
      </c>
      <c r="AI12" s="143">
        <f t="shared" si="11"/>
        <v>2.5</v>
      </c>
      <c r="AJ12" s="144"/>
      <c r="AK12" s="222"/>
    </row>
    <row r="13" spans="1:37" ht="33" customHeight="1" x14ac:dyDescent="0.3">
      <c r="A13" s="245">
        <v>5</v>
      </c>
      <c r="B13" s="135" t="s">
        <v>38</v>
      </c>
      <c r="C13" s="132" t="s">
        <v>45</v>
      </c>
      <c r="D13" s="132" t="s">
        <v>51</v>
      </c>
      <c r="E13" s="133" t="s">
        <v>67</v>
      </c>
      <c r="F13" s="134"/>
      <c r="G13" s="134"/>
      <c r="H13" s="134"/>
      <c r="I13" s="134"/>
      <c r="J13" s="135">
        <v>1</v>
      </c>
      <c r="K13" s="132" t="s">
        <v>83</v>
      </c>
      <c r="L13" s="146" t="s">
        <v>8</v>
      </c>
      <c r="M13" s="135">
        <f>15935+3078</f>
        <v>19013</v>
      </c>
      <c r="N13" s="135">
        <f>104.77+37.12</f>
        <v>141.88999999999999</v>
      </c>
      <c r="O13" s="137">
        <f t="shared" si="1"/>
        <v>3.5700000000000003</v>
      </c>
      <c r="P13" s="125">
        <f t="shared" si="2"/>
        <v>478.37345831277759</v>
      </c>
      <c r="Q13" s="138"/>
      <c r="R13" s="139"/>
      <c r="S13" s="126">
        <v>5000</v>
      </c>
      <c r="T13" s="132"/>
      <c r="U13" s="127"/>
      <c r="V13" s="135"/>
      <c r="W13" s="200"/>
      <c r="X13" s="135"/>
      <c r="Y13" s="200"/>
      <c r="Z13" s="128">
        <f t="shared" si="3"/>
        <v>5000</v>
      </c>
      <c r="AA13" s="140">
        <f t="shared" si="0"/>
        <v>1</v>
      </c>
      <c r="AB13" s="128">
        <f t="shared" si="4"/>
        <v>5000</v>
      </c>
      <c r="AC13" s="140">
        <f t="shared" si="5"/>
        <v>1</v>
      </c>
      <c r="AD13" s="128">
        <f t="shared" si="6"/>
        <v>5000</v>
      </c>
      <c r="AE13" s="141">
        <f t="shared" si="7"/>
        <v>1</v>
      </c>
      <c r="AF13" s="129">
        <f t="shared" si="8"/>
        <v>31250</v>
      </c>
      <c r="AG13" s="142">
        <f t="shared" si="9"/>
        <v>1</v>
      </c>
      <c r="AH13" s="128">
        <f t="shared" si="10"/>
        <v>5000</v>
      </c>
      <c r="AI13" s="143">
        <f t="shared" si="11"/>
        <v>1</v>
      </c>
      <c r="AJ13" s="144"/>
      <c r="AK13" s="222"/>
    </row>
    <row r="14" spans="1:37" ht="33" customHeight="1" thickBot="1" x14ac:dyDescent="0.35">
      <c r="A14" s="130">
        <v>6</v>
      </c>
      <c r="B14" s="135" t="s">
        <v>39</v>
      </c>
      <c r="C14" s="132" t="s">
        <v>45</v>
      </c>
      <c r="D14" s="132" t="s">
        <v>52</v>
      </c>
      <c r="E14" s="133" t="s">
        <v>68</v>
      </c>
      <c r="F14" s="134"/>
      <c r="G14" s="134"/>
      <c r="H14" s="134"/>
      <c r="I14" s="134"/>
      <c r="J14" s="135">
        <v>7</v>
      </c>
      <c r="K14" s="132" t="s">
        <v>83</v>
      </c>
      <c r="L14" s="146" t="s">
        <v>8</v>
      </c>
      <c r="M14" s="135">
        <f>15935+2785</f>
        <v>18720</v>
      </c>
      <c r="N14" s="135">
        <f>104.77+76.28</f>
        <v>181.05</v>
      </c>
      <c r="O14" s="137">
        <f t="shared" si="1"/>
        <v>15.57</v>
      </c>
      <c r="P14" s="125">
        <f t="shared" si="2"/>
        <v>1609.8889809444904</v>
      </c>
      <c r="Q14" s="138"/>
      <c r="R14" s="139"/>
      <c r="S14" s="126">
        <v>5000</v>
      </c>
      <c r="T14" s="132"/>
      <c r="U14" s="127"/>
      <c r="V14" s="135"/>
      <c r="W14" s="200"/>
      <c r="X14" s="135"/>
      <c r="Y14" s="200"/>
      <c r="Z14" s="128">
        <f t="shared" si="3"/>
        <v>35000</v>
      </c>
      <c r="AA14" s="140">
        <f t="shared" si="0"/>
        <v>7</v>
      </c>
      <c r="AB14" s="128">
        <f t="shared" si="4"/>
        <v>35000</v>
      </c>
      <c r="AC14" s="140">
        <f t="shared" si="5"/>
        <v>7</v>
      </c>
      <c r="AD14" s="128">
        <f t="shared" si="6"/>
        <v>35000</v>
      </c>
      <c r="AE14" s="141">
        <f t="shared" si="7"/>
        <v>7</v>
      </c>
      <c r="AF14" s="129">
        <f t="shared" si="8"/>
        <v>218750</v>
      </c>
      <c r="AG14" s="142">
        <f t="shared" si="9"/>
        <v>7</v>
      </c>
      <c r="AH14" s="128">
        <f t="shared" si="10"/>
        <v>35000</v>
      </c>
      <c r="AI14" s="143">
        <f t="shared" si="11"/>
        <v>7</v>
      </c>
      <c r="AJ14" s="144"/>
      <c r="AK14" s="222"/>
    </row>
    <row r="15" spans="1:37" ht="41.4" customHeight="1" x14ac:dyDescent="0.3">
      <c r="A15" s="245">
        <v>7</v>
      </c>
      <c r="B15" s="135" t="s">
        <v>40</v>
      </c>
      <c r="C15" s="132" t="s">
        <v>45</v>
      </c>
      <c r="D15" s="132" t="s">
        <v>53</v>
      </c>
      <c r="E15" s="133" t="s">
        <v>69</v>
      </c>
      <c r="F15" s="134"/>
      <c r="G15" s="134"/>
      <c r="H15" s="134"/>
      <c r="I15" s="134"/>
      <c r="J15" s="135">
        <v>2.65</v>
      </c>
      <c r="K15" s="132" t="s">
        <v>82</v>
      </c>
      <c r="L15" s="136" t="s">
        <v>85</v>
      </c>
      <c r="M15" s="135">
        <f>1222+4111</f>
        <v>5333</v>
      </c>
      <c r="N15" s="135">
        <f>21.93+43.4</f>
        <v>65.33</v>
      </c>
      <c r="O15" s="137">
        <f t="shared" si="1"/>
        <v>6.87</v>
      </c>
      <c r="P15" s="125">
        <f t="shared" si="2"/>
        <v>560.80988825960503</v>
      </c>
      <c r="Q15" s="138"/>
      <c r="R15" s="139"/>
      <c r="S15" s="126">
        <v>5000</v>
      </c>
      <c r="T15" s="132"/>
      <c r="U15" s="127"/>
      <c r="V15" s="135"/>
      <c r="W15" s="200"/>
      <c r="X15" s="135"/>
      <c r="Y15" s="200"/>
      <c r="Z15" s="128">
        <f t="shared" si="3"/>
        <v>13250</v>
      </c>
      <c r="AA15" s="140">
        <f t="shared" si="0"/>
        <v>2.65</v>
      </c>
      <c r="AB15" s="128">
        <f t="shared" si="4"/>
        <v>13250</v>
      </c>
      <c r="AC15" s="140">
        <f t="shared" si="5"/>
        <v>2.65</v>
      </c>
      <c r="AD15" s="128">
        <f t="shared" si="6"/>
        <v>13250</v>
      </c>
      <c r="AE15" s="141">
        <f t="shared" si="7"/>
        <v>2.65</v>
      </c>
      <c r="AF15" s="129">
        <f t="shared" si="8"/>
        <v>82812.5</v>
      </c>
      <c r="AG15" s="142">
        <f t="shared" si="9"/>
        <v>2.65</v>
      </c>
      <c r="AH15" s="128">
        <f t="shared" si="10"/>
        <v>13250</v>
      </c>
      <c r="AI15" s="143">
        <f t="shared" si="11"/>
        <v>2.65</v>
      </c>
      <c r="AJ15" s="144"/>
      <c r="AK15" s="222"/>
    </row>
    <row r="16" spans="1:37" ht="41.4" customHeight="1" thickBot="1" x14ac:dyDescent="0.35">
      <c r="A16" s="130">
        <v>8</v>
      </c>
      <c r="B16" s="135" t="s">
        <v>41</v>
      </c>
      <c r="C16" s="132" t="s">
        <v>46</v>
      </c>
      <c r="D16" s="132" t="s">
        <v>54</v>
      </c>
      <c r="E16" s="133" t="s">
        <v>70</v>
      </c>
      <c r="F16" s="134"/>
      <c r="G16" s="134"/>
      <c r="H16" s="134"/>
      <c r="I16" s="134"/>
      <c r="J16" s="135">
        <v>2.7</v>
      </c>
      <c r="K16" s="132" t="s">
        <v>82</v>
      </c>
      <c r="L16" s="146" t="s">
        <v>8</v>
      </c>
      <c r="M16" s="135">
        <v>2049</v>
      </c>
      <c r="N16" s="135">
        <v>71.5</v>
      </c>
      <c r="O16" s="137">
        <f t="shared" si="1"/>
        <v>6.9700000000000006</v>
      </c>
      <c r="P16" s="125">
        <f t="shared" si="2"/>
        <v>199.74167832167834</v>
      </c>
      <c r="Q16" s="138"/>
      <c r="R16" s="139"/>
      <c r="S16" s="126">
        <v>5000</v>
      </c>
      <c r="T16" s="147"/>
      <c r="U16" s="127"/>
      <c r="V16" s="135"/>
      <c r="W16" s="200"/>
      <c r="X16" s="135"/>
      <c r="Y16" s="200"/>
      <c r="Z16" s="128">
        <f t="shared" si="3"/>
        <v>13500</v>
      </c>
      <c r="AA16" s="140">
        <f t="shared" si="0"/>
        <v>2.7</v>
      </c>
      <c r="AB16" s="128">
        <f t="shared" si="4"/>
        <v>13500</v>
      </c>
      <c r="AC16" s="140">
        <f t="shared" si="5"/>
        <v>2.7</v>
      </c>
      <c r="AD16" s="128">
        <f t="shared" si="6"/>
        <v>13500</v>
      </c>
      <c r="AE16" s="141">
        <f t="shared" si="7"/>
        <v>2.7</v>
      </c>
      <c r="AF16" s="129">
        <f t="shared" si="8"/>
        <v>84375</v>
      </c>
      <c r="AG16" s="142">
        <f t="shared" si="9"/>
        <v>2.7</v>
      </c>
      <c r="AH16" s="128">
        <f t="shared" si="10"/>
        <v>13500</v>
      </c>
      <c r="AI16" s="143">
        <f t="shared" si="11"/>
        <v>2.7</v>
      </c>
      <c r="AJ16" s="144"/>
      <c r="AK16" s="222"/>
    </row>
    <row r="17" spans="1:37" ht="41.4" customHeight="1" x14ac:dyDescent="0.3">
      <c r="A17" s="245">
        <v>9</v>
      </c>
      <c r="B17" s="135" t="s">
        <v>41</v>
      </c>
      <c r="C17" s="132" t="s">
        <v>46</v>
      </c>
      <c r="D17" s="132" t="s">
        <v>55</v>
      </c>
      <c r="E17" s="133" t="s">
        <v>71</v>
      </c>
      <c r="F17" s="132"/>
      <c r="G17" s="132"/>
      <c r="H17" s="132"/>
      <c r="I17" s="132"/>
      <c r="J17" s="135">
        <v>2.7</v>
      </c>
      <c r="K17" s="132" t="s">
        <v>82</v>
      </c>
      <c r="L17" s="146" t="s">
        <v>8</v>
      </c>
      <c r="M17" s="135">
        <f>2049+2363</f>
        <v>4412</v>
      </c>
      <c r="N17" s="135">
        <f>71.5+56.75</f>
        <v>128.25</v>
      </c>
      <c r="O17" s="137">
        <f t="shared" si="1"/>
        <v>6.9700000000000006</v>
      </c>
      <c r="P17" s="125">
        <f t="shared" si="2"/>
        <v>239.7788693957115</v>
      </c>
      <c r="Q17" s="138"/>
      <c r="R17" s="139"/>
      <c r="S17" s="126">
        <v>5000</v>
      </c>
      <c r="T17" s="147"/>
      <c r="U17" s="127"/>
      <c r="V17" s="135"/>
      <c r="W17" s="200"/>
      <c r="X17" s="135"/>
      <c r="Y17" s="200"/>
      <c r="Z17" s="128">
        <f t="shared" si="3"/>
        <v>13500</v>
      </c>
      <c r="AA17" s="140">
        <f t="shared" si="0"/>
        <v>2.7</v>
      </c>
      <c r="AB17" s="128">
        <f t="shared" si="4"/>
        <v>13500</v>
      </c>
      <c r="AC17" s="140">
        <f t="shared" si="5"/>
        <v>2.7</v>
      </c>
      <c r="AD17" s="128">
        <f t="shared" si="6"/>
        <v>13500</v>
      </c>
      <c r="AE17" s="141">
        <f t="shared" si="7"/>
        <v>2.7</v>
      </c>
      <c r="AF17" s="129">
        <f t="shared" si="8"/>
        <v>84375</v>
      </c>
      <c r="AG17" s="142">
        <f t="shared" si="9"/>
        <v>2.7</v>
      </c>
      <c r="AH17" s="128">
        <f t="shared" si="10"/>
        <v>13500</v>
      </c>
      <c r="AI17" s="143">
        <f t="shared" si="11"/>
        <v>2.7</v>
      </c>
      <c r="AJ17" s="144"/>
      <c r="AK17" s="222"/>
    </row>
    <row r="18" spans="1:37" ht="41.4" customHeight="1" thickBot="1" x14ac:dyDescent="0.35">
      <c r="A18" s="130">
        <v>10</v>
      </c>
      <c r="B18" s="131" t="s">
        <v>41</v>
      </c>
      <c r="C18" s="132" t="s">
        <v>46</v>
      </c>
      <c r="D18" s="132" t="s">
        <v>55</v>
      </c>
      <c r="E18" s="148" t="s">
        <v>72</v>
      </c>
      <c r="F18" s="134"/>
      <c r="G18" s="134"/>
      <c r="H18" s="134"/>
      <c r="I18" s="134"/>
      <c r="J18" s="135">
        <v>2.2999999999999998</v>
      </c>
      <c r="K18" s="132" t="s">
        <v>82</v>
      </c>
      <c r="L18" s="146" t="s">
        <v>8</v>
      </c>
      <c r="M18" s="135">
        <f>2049+2363</f>
        <v>4412</v>
      </c>
      <c r="N18" s="135">
        <f>71.5+56.75</f>
        <v>128.25</v>
      </c>
      <c r="O18" s="137">
        <f t="shared" si="1"/>
        <v>6.17</v>
      </c>
      <c r="P18" s="125">
        <f t="shared" si="2"/>
        <v>212.25762183235867</v>
      </c>
      <c r="Q18" s="138"/>
      <c r="R18" s="139"/>
      <c r="S18" s="126">
        <v>5000</v>
      </c>
      <c r="T18" s="132"/>
      <c r="U18" s="127"/>
      <c r="V18" s="135"/>
      <c r="W18" s="200"/>
      <c r="X18" s="135"/>
      <c r="Y18" s="200"/>
      <c r="Z18" s="128">
        <f t="shared" si="3"/>
        <v>11500</v>
      </c>
      <c r="AA18" s="140">
        <f t="shared" si="0"/>
        <v>2.2999999999999998</v>
      </c>
      <c r="AB18" s="128">
        <f t="shared" si="4"/>
        <v>11500</v>
      </c>
      <c r="AC18" s="140">
        <f t="shared" si="5"/>
        <v>2.2999999999999998</v>
      </c>
      <c r="AD18" s="128">
        <f t="shared" si="6"/>
        <v>11500</v>
      </c>
      <c r="AE18" s="141">
        <f t="shared" si="7"/>
        <v>2.2999999999999998</v>
      </c>
      <c r="AF18" s="129">
        <f t="shared" si="8"/>
        <v>71875</v>
      </c>
      <c r="AG18" s="142">
        <f t="shared" si="9"/>
        <v>2.2999999999999998</v>
      </c>
      <c r="AH18" s="128">
        <f t="shared" si="10"/>
        <v>11500</v>
      </c>
      <c r="AI18" s="143">
        <f t="shared" si="11"/>
        <v>2.2999999999999998</v>
      </c>
      <c r="AJ18" s="144"/>
      <c r="AK18" s="222"/>
    </row>
    <row r="19" spans="1:37" ht="41.4" customHeight="1" x14ac:dyDescent="0.3">
      <c r="A19" s="245">
        <v>11</v>
      </c>
      <c r="B19" s="135" t="s">
        <v>41</v>
      </c>
      <c r="C19" s="132" t="s">
        <v>46</v>
      </c>
      <c r="D19" s="132" t="s">
        <v>56</v>
      </c>
      <c r="E19" s="149" t="s">
        <v>73</v>
      </c>
      <c r="F19" s="132"/>
      <c r="G19" s="132"/>
      <c r="H19" s="132"/>
      <c r="I19" s="132"/>
      <c r="J19" s="135">
        <v>2</v>
      </c>
      <c r="K19" s="132" t="s">
        <v>82</v>
      </c>
      <c r="L19" s="146" t="s">
        <v>8</v>
      </c>
      <c r="M19" s="135">
        <v>2049</v>
      </c>
      <c r="N19" s="135">
        <v>71.5</v>
      </c>
      <c r="O19" s="137">
        <f t="shared" si="1"/>
        <v>5.57</v>
      </c>
      <c r="P19" s="125">
        <f t="shared" si="2"/>
        <v>159.6213986013986</v>
      </c>
      <c r="Q19" s="138"/>
      <c r="R19" s="139"/>
      <c r="S19" s="126">
        <v>5000</v>
      </c>
      <c r="T19" s="132"/>
      <c r="U19" s="127"/>
      <c r="V19" s="135"/>
      <c r="W19" s="200"/>
      <c r="X19" s="135"/>
      <c r="Y19" s="200"/>
      <c r="Z19" s="128">
        <f t="shared" si="3"/>
        <v>10000</v>
      </c>
      <c r="AA19" s="140">
        <f t="shared" si="0"/>
        <v>2</v>
      </c>
      <c r="AB19" s="128">
        <f t="shared" si="4"/>
        <v>10000</v>
      </c>
      <c r="AC19" s="140">
        <f t="shared" si="5"/>
        <v>2</v>
      </c>
      <c r="AD19" s="128">
        <f t="shared" si="6"/>
        <v>10000</v>
      </c>
      <c r="AE19" s="141">
        <f t="shared" si="7"/>
        <v>2</v>
      </c>
      <c r="AF19" s="129">
        <f t="shared" si="8"/>
        <v>62500</v>
      </c>
      <c r="AG19" s="142">
        <f t="shared" si="9"/>
        <v>2</v>
      </c>
      <c r="AH19" s="128">
        <f t="shared" si="10"/>
        <v>10000</v>
      </c>
      <c r="AI19" s="143">
        <f t="shared" si="11"/>
        <v>2</v>
      </c>
      <c r="AJ19" s="144"/>
      <c r="AK19" s="222"/>
    </row>
    <row r="20" spans="1:37" ht="41.4" customHeight="1" thickBot="1" x14ac:dyDescent="0.35">
      <c r="A20" s="130">
        <v>12</v>
      </c>
      <c r="B20" s="131" t="s">
        <v>42</v>
      </c>
      <c r="C20" s="132" t="s">
        <v>45</v>
      </c>
      <c r="D20" s="132" t="s">
        <v>58</v>
      </c>
      <c r="E20" s="150" t="s">
        <v>76</v>
      </c>
      <c r="F20" s="134"/>
      <c r="G20" s="151"/>
      <c r="H20" s="151"/>
      <c r="I20" s="151"/>
      <c r="J20" s="135">
        <v>2.7</v>
      </c>
      <c r="K20" s="132" t="s">
        <v>82</v>
      </c>
      <c r="L20" s="152" t="s">
        <v>25</v>
      </c>
      <c r="M20" s="124">
        <v>4111</v>
      </c>
      <c r="N20" s="135">
        <v>43.4</v>
      </c>
      <c r="O20" s="137">
        <f t="shared" si="1"/>
        <v>6.9700000000000006</v>
      </c>
      <c r="P20" s="125">
        <f t="shared" si="2"/>
        <v>660.22281105990794</v>
      </c>
      <c r="Q20" s="138"/>
      <c r="R20" s="139"/>
      <c r="S20" s="126">
        <v>5000</v>
      </c>
      <c r="T20" s="132"/>
      <c r="U20" s="132"/>
      <c r="V20" s="138"/>
      <c r="W20" s="132"/>
      <c r="X20" s="138"/>
      <c r="Y20" s="167"/>
      <c r="Z20" s="128">
        <f t="shared" si="3"/>
        <v>13500</v>
      </c>
      <c r="AA20" s="140">
        <f t="shared" si="0"/>
        <v>2.7</v>
      </c>
      <c r="AB20" s="128">
        <f t="shared" si="4"/>
        <v>13500</v>
      </c>
      <c r="AC20" s="140">
        <f t="shared" si="5"/>
        <v>2.7</v>
      </c>
      <c r="AD20" s="128">
        <f t="shared" si="6"/>
        <v>13500</v>
      </c>
      <c r="AE20" s="141">
        <f t="shared" si="7"/>
        <v>2.7</v>
      </c>
      <c r="AF20" s="129">
        <f t="shared" si="8"/>
        <v>84375</v>
      </c>
      <c r="AG20" s="142">
        <f t="shared" si="9"/>
        <v>2.7</v>
      </c>
      <c r="AH20" s="128">
        <f t="shared" si="10"/>
        <v>13500</v>
      </c>
      <c r="AI20" s="143">
        <f t="shared" si="11"/>
        <v>2.7</v>
      </c>
      <c r="AJ20" s="144"/>
      <c r="AK20" s="222"/>
    </row>
    <row r="21" spans="1:37" ht="41.4" customHeight="1" x14ac:dyDescent="0.3">
      <c r="A21" s="245">
        <v>13</v>
      </c>
      <c r="B21" s="131" t="s">
        <v>42</v>
      </c>
      <c r="C21" s="132" t="s">
        <v>46</v>
      </c>
      <c r="D21" s="132" t="s">
        <v>59</v>
      </c>
      <c r="E21" s="150" t="s">
        <v>77</v>
      </c>
      <c r="F21" s="134"/>
      <c r="G21" s="134"/>
      <c r="H21" s="134"/>
      <c r="I21" s="134"/>
      <c r="J21" s="135">
        <v>1.7</v>
      </c>
      <c r="K21" s="132" t="s">
        <v>82</v>
      </c>
      <c r="L21" s="152" t="s">
        <v>25</v>
      </c>
      <c r="M21" s="124">
        <f>2049+2363</f>
        <v>4412</v>
      </c>
      <c r="N21" s="135">
        <f>71.5+56.75</f>
        <v>128.25</v>
      </c>
      <c r="O21" s="137">
        <f t="shared" si="1"/>
        <v>4.97</v>
      </c>
      <c r="P21" s="125">
        <f t="shared" si="2"/>
        <v>170.97575048732941</v>
      </c>
      <c r="Q21" s="138"/>
      <c r="R21" s="139"/>
      <c r="S21" s="126">
        <v>5000</v>
      </c>
      <c r="T21" s="132"/>
      <c r="U21" s="132"/>
      <c r="V21" s="138"/>
      <c r="W21" s="132"/>
      <c r="X21" s="138"/>
      <c r="Y21" s="167"/>
      <c r="Z21" s="128">
        <f t="shared" si="3"/>
        <v>8500</v>
      </c>
      <c r="AA21" s="140">
        <f t="shared" si="0"/>
        <v>1.7</v>
      </c>
      <c r="AB21" s="128">
        <f t="shared" si="4"/>
        <v>8500</v>
      </c>
      <c r="AC21" s="140">
        <f t="shared" si="5"/>
        <v>1.7</v>
      </c>
      <c r="AD21" s="128">
        <f t="shared" si="6"/>
        <v>8500</v>
      </c>
      <c r="AE21" s="141">
        <f t="shared" si="7"/>
        <v>1.7</v>
      </c>
      <c r="AF21" s="129">
        <f t="shared" si="8"/>
        <v>53125</v>
      </c>
      <c r="AG21" s="142">
        <f t="shared" si="9"/>
        <v>1.7</v>
      </c>
      <c r="AH21" s="128">
        <f t="shared" si="10"/>
        <v>8500</v>
      </c>
      <c r="AI21" s="143">
        <f t="shared" si="11"/>
        <v>1.7</v>
      </c>
      <c r="AJ21" s="144"/>
      <c r="AK21" s="222"/>
    </row>
    <row r="22" spans="1:37" ht="41.4" customHeight="1" thickBot="1" x14ac:dyDescent="0.35">
      <c r="A22" s="130">
        <v>14</v>
      </c>
      <c r="B22" s="131" t="s">
        <v>42</v>
      </c>
      <c r="C22" s="132" t="s">
        <v>46</v>
      </c>
      <c r="D22" s="132" t="s">
        <v>60</v>
      </c>
      <c r="E22" s="150" t="s">
        <v>78</v>
      </c>
      <c r="F22" s="134"/>
      <c r="G22" s="134"/>
      <c r="H22" s="134"/>
      <c r="I22" s="134"/>
      <c r="J22" s="135">
        <v>2</v>
      </c>
      <c r="K22" s="132" t="s">
        <v>82</v>
      </c>
      <c r="L22" s="152" t="s">
        <v>25</v>
      </c>
      <c r="M22" s="124">
        <f>2049+2363</f>
        <v>4412</v>
      </c>
      <c r="N22" s="135">
        <f>71.5+56.75</f>
        <v>128.25</v>
      </c>
      <c r="O22" s="137">
        <f t="shared" si="1"/>
        <v>5.57</v>
      </c>
      <c r="P22" s="125">
        <f t="shared" si="2"/>
        <v>191.61668615984405</v>
      </c>
      <c r="Q22" s="138"/>
      <c r="R22" s="139"/>
      <c r="S22" s="126">
        <v>5000</v>
      </c>
      <c r="T22" s="132"/>
      <c r="U22" s="132"/>
      <c r="V22" s="138"/>
      <c r="W22" s="132"/>
      <c r="X22" s="138"/>
      <c r="Y22" s="167"/>
      <c r="Z22" s="128">
        <f t="shared" si="3"/>
        <v>10000</v>
      </c>
      <c r="AA22" s="140">
        <f t="shared" si="0"/>
        <v>2</v>
      </c>
      <c r="AB22" s="128">
        <f t="shared" si="4"/>
        <v>10000</v>
      </c>
      <c r="AC22" s="140">
        <f t="shared" si="5"/>
        <v>2</v>
      </c>
      <c r="AD22" s="128">
        <f t="shared" si="6"/>
        <v>10000</v>
      </c>
      <c r="AE22" s="141">
        <f t="shared" si="7"/>
        <v>2</v>
      </c>
      <c r="AF22" s="129">
        <f t="shared" si="8"/>
        <v>62500</v>
      </c>
      <c r="AG22" s="142">
        <f t="shared" si="9"/>
        <v>2</v>
      </c>
      <c r="AH22" s="128">
        <f t="shared" si="10"/>
        <v>10000</v>
      </c>
      <c r="AI22" s="143">
        <f t="shared" si="11"/>
        <v>2</v>
      </c>
      <c r="AJ22" s="144"/>
      <c r="AK22" s="222"/>
    </row>
    <row r="23" spans="1:37" ht="41.4" customHeight="1" x14ac:dyDescent="0.3">
      <c r="A23" s="245">
        <v>15</v>
      </c>
      <c r="B23" s="131" t="s">
        <v>42</v>
      </c>
      <c r="C23" s="132" t="s">
        <v>46</v>
      </c>
      <c r="D23" s="132" t="s">
        <v>61</v>
      </c>
      <c r="E23" s="150" t="s">
        <v>79</v>
      </c>
      <c r="F23" s="132"/>
      <c r="G23" s="132"/>
      <c r="H23" s="132"/>
      <c r="I23" s="132"/>
      <c r="J23" s="135">
        <v>2</v>
      </c>
      <c r="K23" s="132" t="s">
        <v>82</v>
      </c>
      <c r="L23" s="152" t="s">
        <v>25</v>
      </c>
      <c r="M23" s="124">
        <v>2049</v>
      </c>
      <c r="N23" s="135">
        <v>71.5</v>
      </c>
      <c r="O23" s="137">
        <f t="shared" si="1"/>
        <v>5.57</v>
      </c>
      <c r="P23" s="125">
        <f t="shared" si="2"/>
        <v>159.6213986013986</v>
      </c>
      <c r="Q23" s="138"/>
      <c r="R23" s="139"/>
      <c r="S23" s="126">
        <v>5000</v>
      </c>
      <c r="T23" s="132"/>
      <c r="U23" s="132"/>
      <c r="V23" s="138"/>
      <c r="W23" s="132"/>
      <c r="X23" s="138"/>
      <c r="Y23" s="167"/>
      <c r="Z23" s="128">
        <f t="shared" si="3"/>
        <v>10000</v>
      </c>
      <c r="AA23" s="140">
        <f t="shared" si="0"/>
        <v>2</v>
      </c>
      <c r="AB23" s="128">
        <f t="shared" si="4"/>
        <v>10000</v>
      </c>
      <c r="AC23" s="140">
        <f t="shared" si="5"/>
        <v>2</v>
      </c>
      <c r="AD23" s="128">
        <f t="shared" si="6"/>
        <v>10000</v>
      </c>
      <c r="AE23" s="141">
        <f t="shared" si="7"/>
        <v>2</v>
      </c>
      <c r="AF23" s="129">
        <f t="shared" si="8"/>
        <v>62500</v>
      </c>
      <c r="AG23" s="142">
        <f t="shared" si="9"/>
        <v>2</v>
      </c>
      <c r="AH23" s="128">
        <f t="shared" si="10"/>
        <v>10000</v>
      </c>
      <c r="AI23" s="143">
        <f t="shared" si="11"/>
        <v>2</v>
      </c>
      <c r="AJ23" s="144"/>
      <c r="AK23" s="222"/>
    </row>
    <row r="24" spans="1:37" ht="41.4" customHeight="1" thickBot="1" x14ac:dyDescent="0.35">
      <c r="A24" s="130">
        <v>16</v>
      </c>
      <c r="B24" s="131" t="s">
        <v>42</v>
      </c>
      <c r="C24" s="132" t="s">
        <v>46</v>
      </c>
      <c r="D24" s="132" t="s">
        <v>62</v>
      </c>
      <c r="E24" s="150" t="s">
        <v>80</v>
      </c>
      <c r="F24" s="134"/>
      <c r="G24" s="134"/>
      <c r="H24" s="134"/>
      <c r="I24" s="134"/>
      <c r="J24" s="135">
        <v>2</v>
      </c>
      <c r="K24" s="132" t="s">
        <v>82</v>
      </c>
      <c r="L24" s="152" t="s">
        <v>25</v>
      </c>
      <c r="M24" s="124">
        <v>2049</v>
      </c>
      <c r="N24" s="135">
        <v>71.5</v>
      </c>
      <c r="O24" s="137">
        <f t="shared" si="1"/>
        <v>5.57</v>
      </c>
      <c r="P24" s="125">
        <f t="shared" si="2"/>
        <v>159.6213986013986</v>
      </c>
      <c r="Q24" s="138"/>
      <c r="R24" s="139"/>
      <c r="S24" s="126">
        <v>5000</v>
      </c>
      <c r="T24" s="132"/>
      <c r="U24" s="132"/>
      <c r="V24" s="138"/>
      <c r="W24" s="132"/>
      <c r="X24" s="138"/>
      <c r="Y24" s="167"/>
      <c r="Z24" s="128">
        <f t="shared" si="3"/>
        <v>10000</v>
      </c>
      <c r="AA24" s="140">
        <f t="shared" si="0"/>
        <v>2</v>
      </c>
      <c r="AB24" s="128">
        <f t="shared" si="4"/>
        <v>10000</v>
      </c>
      <c r="AC24" s="140">
        <f t="shared" si="5"/>
        <v>2</v>
      </c>
      <c r="AD24" s="128">
        <f t="shared" si="6"/>
        <v>10000</v>
      </c>
      <c r="AE24" s="141">
        <f t="shared" si="7"/>
        <v>2</v>
      </c>
      <c r="AF24" s="129">
        <f t="shared" si="8"/>
        <v>62500</v>
      </c>
      <c r="AG24" s="142">
        <f t="shared" si="9"/>
        <v>2</v>
      </c>
      <c r="AH24" s="128">
        <f t="shared" si="10"/>
        <v>10000</v>
      </c>
      <c r="AI24" s="143">
        <f t="shared" si="11"/>
        <v>2</v>
      </c>
      <c r="AJ24" s="144"/>
      <c r="AK24" s="222"/>
    </row>
    <row r="25" spans="1:37" ht="41.4" customHeight="1" x14ac:dyDescent="0.3">
      <c r="A25" s="245">
        <v>17</v>
      </c>
      <c r="B25" s="131" t="s">
        <v>42</v>
      </c>
      <c r="C25" s="132" t="s">
        <v>46</v>
      </c>
      <c r="D25" s="132" t="s">
        <v>62</v>
      </c>
      <c r="E25" s="150" t="s">
        <v>81</v>
      </c>
      <c r="F25" s="132"/>
      <c r="G25" s="132"/>
      <c r="H25" s="132"/>
      <c r="I25" s="132"/>
      <c r="J25" s="135">
        <v>2.7</v>
      </c>
      <c r="K25" s="132" t="s">
        <v>82</v>
      </c>
      <c r="L25" s="152" t="s">
        <v>25</v>
      </c>
      <c r="M25" s="124">
        <v>2049</v>
      </c>
      <c r="N25" s="135">
        <v>71.5</v>
      </c>
      <c r="O25" s="137">
        <f t="shared" si="1"/>
        <v>6.9700000000000006</v>
      </c>
      <c r="P25" s="125">
        <f t="shared" si="2"/>
        <v>199.74167832167834</v>
      </c>
      <c r="Q25" s="138"/>
      <c r="R25" s="139"/>
      <c r="S25" s="126">
        <v>5000</v>
      </c>
      <c r="T25" s="132"/>
      <c r="U25" s="132"/>
      <c r="V25" s="138"/>
      <c r="W25" s="132"/>
      <c r="X25" s="138"/>
      <c r="Y25" s="167"/>
      <c r="Z25" s="128">
        <f t="shared" si="3"/>
        <v>13500</v>
      </c>
      <c r="AA25" s="140">
        <f t="shared" si="0"/>
        <v>2.7</v>
      </c>
      <c r="AB25" s="128">
        <f t="shared" si="4"/>
        <v>13500</v>
      </c>
      <c r="AC25" s="140">
        <f t="shared" si="5"/>
        <v>2.7</v>
      </c>
      <c r="AD25" s="128">
        <f t="shared" si="6"/>
        <v>13500</v>
      </c>
      <c r="AE25" s="141">
        <f t="shared" si="7"/>
        <v>2.7</v>
      </c>
      <c r="AF25" s="129">
        <f t="shared" si="8"/>
        <v>84375</v>
      </c>
      <c r="AG25" s="142">
        <f t="shared" si="9"/>
        <v>2.7</v>
      </c>
      <c r="AH25" s="128">
        <f t="shared" si="10"/>
        <v>13500</v>
      </c>
      <c r="AI25" s="143">
        <f t="shared" si="11"/>
        <v>2.7</v>
      </c>
      <c r="AJ25" s="144"/>
      <c r="AK25" s="222"/>
    </row>
    <row r="26" spans="1:37" ht="18" customHeight="1" x14ac:dyDescent="0.3">
      <c r="A26" s="153"/>
      <c r="B26" s="154"/>
      <c r="C26" s="155"/>
      <c r="D26" s="155"/>
      <c r="E26" s="155"/>
      <c r="F26" s="155"/>
      <c r="G26" s="155"/>
      <c r="H26" s="155"/>
      <c r="I26" s="155"/>
      <c r="J26" s="156"/>
      <c r="K26" s="155"/>
      <c r="L26" s="157"/>
      <c r="M26" s="158"/>
      <c r="N26" s="158"/>
      <c r="O26" s="158"/>
      <c r="P26" s="159"/>
      <c r="Q26" s="160"/>
      <c r="R26" s="161"/>
      <c r="S26" s="162"/>
      <c r="T26" s="155"/>
      <c r="U26" s="155"/>
      <c r="V26" s="156"/>
      <c r="W26" s="155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8"/>
      <c r="AJ26" s="163"/>
      <c r="AK26" s="223"/>
    </row>
    <row r="27" spans="1:37" ht="41.4" customHeight="1" x14ac:dyDescent="0.3">
      <c r="A27" s="145">
        <v>2</v>
      </c>
      <c r="B27" s="131" t="s">
        <v>35</v>
      </c>
      <c r="C27" s="132" t="s">
        <v>43</v>
      </c>
      <c r="D27" s="132" t="s">
        <v>120</v>
      </c>
      <c r="E27" s="150" t="s">
        <v>129</v>
      </c>
      <c r="F27" s="164">
        <v>126.799249</v>
      </c>
      <c r="G27" s="164">
        <v>-8.5845210000000005</v>
      </c>
      <c r="H27" s="164">
        <v>126.84336500000001</v>
      </c>
      <c r="I27" s="164">
        <v>-8.5632079999999995</v>
      </c>
      <c r="J27" s="135">
        <v>8</v>
      </c>
      <c r="K27" s="133" t="s">
        <v>23</v>
      </c>
      <c r="L27" s="146" t="s">
        <v>8</v>
      </c>
      <c r="M27" s="135">
        <f>1819+3376</f>
        <v>5195</v>
      </c>
      <c r="N27" s="135">
        <f>23.18+22.95</f>
        <v>46.129999999999995</v>
      </c>
      <c r="O27" s="132">
        <f t="shared" ref="O27:O48" si="12">(J27*2)+$O$2</f>
        <v>17.57</v>
      </c>
      <c r="P27" s="125">
        <f t="shared" ref="P27:P48" si="13">(M27/N27)*O27</f>
        <v>1978.6722306525041</v>
      </c>
      <c r="Q27" s="165">
        <f>(P27*R27)/S27</f>
        <v>0.19187124660872767</v>
      </c>
      <c r="R27" s="139">
        <v>20</v>
      </c>
      <c r="S27" s="139">
        <v>206250</v>
      </c>
      <c r="T27" s="132"/>
      <c r="U27" s="166">
        <v>1</v>
      </c>
      <c r="V27" s="138"/>
      <c r="W27" s="167"/>
      <c r="X27" s="135"/>
      <c r="Y27" s="167"/>
      <c r="Z27" s="168">
        <f>S27*AA27</f>
        <v>556875</v>
      </c>
      <c r="AA27" s="169">
        <v>2.7</v>
      </c>
      <c r="AB27" s="170">
        <f t="shared" ref="AB27:AB36" si="14">S27*AC27</f>
        <v>556875</v>
      </c>
      <c r="AC27" s="171">
        <f>AA27</f>
        <v>2.7</v>
      </c>
      <c r="AD27" s="168">
        <f>S27*AE27</f>
        <v>556875</v>
      </c>
      <c r="AE27" s="172">
        <f>AC27</f>
        <v>2.7</v>
      </c>
      <c r="AF27" s="173">
        <f>5000*AG27</f>
        <v>40000</v>
      </c>
      <c r="AG27" s="141">
        <v>8</v>
      </c>
      <c r="AH27" s="174">
        <f t="shared" ref="AH27:AH40" si="15">5000*AI27</f>
        <v>40000</v>
      </c>
      <c r="AI27" s="143">
        <v>8</v>
      </c>
      <c r="AJ27" s="144"/>
      <c r="AK27" s="222"/>
    </row>
    <row r="28" spans="1:37" ht="41.4" customHeight="1" x14ac:dyDescent="0.3">
      <c r="A28" s="145">
        <v>4</v>
      </c>
      <c r="B28" s="131" t="s">
        <v>92</v>
      </c>
      <c r="C28" s="132" t="s">
        <v>44</v>
      </c>
      <c r="D28" s="132" t="s">
        <v>122</v>
      </c>
      <c r="E28" s="150" t="s">
        <v>118</v>
      </c>
      <c r="F28" s="175">
        <v>126.83092600000001</v>
      </c>
      <c r="G28" s="175">
        <v>-8.4245789999999996</v>
      </c>
      <c r="H28" s="175">
        <v>126.888716</v>
      </c>
      <c r="I28" s="175">
        <v>-8.4564819999999994</v>
      </c>
      <c r="J28" s="135">
        <v>7.9</v>
      </c>
      <c r="K28" s="176" t="s">
        <v>145</v>
      </c>
      <c r="L28" s="146" t="s">
        <v>8</v>
      </c>
      <c r="M28" s="135">
        <f>1603+1728</f>
        <v>3331</v>
      </c>
      <c r="N28" s="177">
        <f>45.26+38.23</f>
        <v>83.49</v>
      </c>
      <c r="O28" s="132">
        <f t="shared" si="12"/>
        <v>17.37</v>
      </c>
      <c r="P28" s="125">
        <f t="shared" si="13"/>
        <v>693.01077973409997</v>
      </c>
      <c r="Q28" s="165">
        <f t="shared" ref="Q28:Q48" si="16">(P28*R28)/S28</f>
        <v>6.0480940776794175E-2</v>
      </c>
      <c r="R28" s="139">
        <v>18</v>
      </c>
      <c r="S28" s="139">
        <v>206250</v>
      </c>
      <c r="T28" s="132"/>
      <c r="U28" s="166">
        <v>2</v>
      </c>
      <c r="V28" s="138"/>
      <c r="W28" s="167"/>
      <c r="X28" s="135"/>
      <c r="Y28" s="167"/>
      <c r="Z28" s="168">
        <f>S28*AA28</f>
        <v>542437.5</v>
      </c>
      <c r="AA28" s="169">
        <v>2.63</v>
      </c>
      <c r="AB28" s="170">
        <f t="shared" si="14"/>
        <v>542437.5</v>
      </c>
      <c r="AC28" s="171">
        <f>AA28</f>
        <v>2.63</v>
      </c>
      <c r="AD28" s="168">
        <f>S28*AE28</f>
        <v>542437.5</v>
      </c>
      <c r="AE28" s="172">
        <f>AC28</f>
        <v>2.63</v>
      </c>
      <c r="AF28" s="173">
        <f>5000*AG28</f>
        <v>39500</v>
      </c>
      <c r="AG28" s="141">
        <f>7.9</f>
        <v>7.9</v>
      </c>
      <c r="AH28" s="174">
        <f t="shared" si="15"/>
        <v>39500</v>
      </c>
      <c r="AI28" s="143">
        <v>7.9</v>
      </c>
      <c r="AJ28" s="144"/>
      <c r="AK28" s="222"/>
    </row>
    <row r="29" spans="1:37" ht="41.4" customHeight="1" x14ac:dyDescent="0.3">
      <c r="A29" s="145">
        <v>3</v>
      </c>
      <c r="B29" s="131" t="s">
        <v>86</v>
      </c>
      <c r="C29" s="132" t="s">
        <v>43</v>
      </c>
      <c r="D29" s="132" t="s">
        <v>130</v>
      </c>
      <c r="E29" s="150" t="s">
        <v>109</v>
      </c>
      <c r="F29" s="175">
        <v>126.826787</v>
      </c>
      <c r="G29" s="175">
        <v>-8.5382250000000006</v>
      </c>
      <c r="H29" s="175">
        <v>126.779279</v>
      </c>
      <c r="I29" s="175">
        <v>-8.5248629999999999</v>
      </c>
      <c r="J29" s="135">
        <v>4.75</v>
      </c>
      <c r="K29" s="133" t="s">
        <v>23</v>
      </c>
      <c r="L29" s="146" t="s">
        <v>8</v>
      </c>
      <c r="M29" s="135">
        <f>952+1662</f>
        <v>2614</v>
      </c>
      <c r="N29" s="135">
        <f>11.38+16.37</f>
        <v>27.75</v>
      </c>
      <c r="O29" s="132">
        <f t="shared" si="12"/>
        <v>11.07</v>
      </c>
      <c r="P29" s="125">
        <f t="shared" si="13"/>
        <v>1042.774054054054</v>
      </c>
      <c r="Q29" s="165">
        <f t="shared" si="16"/>
        <v>0.10111748402948403</v>
      </c>
      <c r="R29" s="139">
        <v>20</v>
      </c>
      <c r="S29" s="139">
        <v>206250</v>
      </c>
      <c r="T29" s="132"/>
      <c r="U29" s="166">
        <v>3</v>
      </c>
      <c r="V29" s="138"/>
      <c r="W29" s="167"/>
      <c r="X29" s="135"/>
      <c r="Y29" s="167"/>
      <c r="Z29" s="168">
        <f>S29*AA29</f>
        <v>495000</v>
      </c>
      <c r="AA29" s="169">
        <v>2.4</v>
      </c>
      <c r="AB29" s="170">
        <f t="shared" si="14"/>
        <v>495000</v>
      </c>
      <c r="AC29" s="171">
        <f>AA29</f>
        <v>2.4</v>
      </c>
      <c r="AD29" s="173">
        <f>5000*AE29</f>
        <v>23750</v>
      </c>
      <c r="AE29" s="141">
        <v>4.75</v>
      </c>
      <c r="AF29" s="173">
        <f>5000*AG29</f>
        <v>24000</v>
      </c>
      <c r="AG29" s="141">
        <v>4.8</v>
      </c>
      <c r="AH29" s="174">
        <f t="shared" si="15"/>
        <v>24000</v>
      </c>
      <c r="AI29" s="143">
        <v>4.8</v>
      </c>
      <c r="AJ29" s="144"/>
      <c r="AK29" s="222"/>
    </row>
    <row r="30" spans="1:37" ht="41.4" customHeight="1" x14ac:dyDescent="0.3">
      <c r="A30" s="145">
        <v>12</v>
      </c>
      <c r="B30" s="131" t="s">
        <v>42</v>
      </c>
      <c r="C30" s="132" t="s">
        <v>45</v>
      </c>
      <c r="D30" s="132" t="s">
        <v>127</v>
      </c>
      <c r="E30" s="133" t="s">
        <v>106</v>
      </c>
      <c r="F30" s="175">
        <v>127.01532400000001</v>
      </c>
      <c r="G30" s="175">
        <v>-8.4430669999999992</v>
      </c>
      <c r="H30" s="175">
        <v>127.03996600000001</v>
      </c>
      <c r="I30" s="175">
        <v>-8.4615939999999998</v>
      </c>
      <c r="J30" s="135">
        <v>4.2</v>
      </c>
      <c r="K30" s="133" t="s">
        <v>23</v>
      </c>
      <c r="L30" s="146" t="s">
        <v>8</v>
      </c>
      <c r="M30" s="135">
        <v>3754</v>
      </c>
      <c r="N30" s="135">
        <v>99.33</v>
      </c>
      <c r="O30" s="132">
        <f t="shared" si="12"/>
        <v>9.9700000000000006</v>
      </c>
      <c r="P30" s="125">
        <f t="shared" si="13"/>
        <v>376.79834893788387</v>
      </c>
      <c r="Q30" s="165">
        <f t="shared" si="16"/>
        <v>4.8230188664049135E-2</v>
      </c>
      <c r="R30" s="139">
        <v>20</v>
      </c>
      <c r="S30" s="139">
        <v>156250</v>
      </c>
      <c r="T30" s="132"/>
      <c r="U30" s="166">
        <v>4</v>
      </c>
      <c r="V30" s="138"/>
      <c r="W30" s="132"/>
      <c r="X30" s="138"/>
      <c r="Y30" s="132"/>
      <c r="Z30" s="168">
        <f>S30*AA30</f>
        <v>328125</v>
      </c>
      <c r="AA30" s="169">
        <v>2.1</v>
      </c>
      <c r="AB30" s="170">
        <f t="shared" si="14"/>
        <v>328125</v>
      </c>
      <c r="AC30" s="171">
        <f>AA30</f>
        <v>2.1</v>
      </c>
      <c r="AD30" s="173">
        <f>5000*AE30</f>
        <v>21000</v>
      </c>
      <c r="AE30" s="141">
        <v>4.2</v>
      </c>
      <c r="AF30" s="173">
        <f>5000*AG30</f>
        <v>21000</v>
      </c>
      <c r="AG30" s="141">
        <v>4.2</v>
      </c>
      <c r="AH30" s="174">
        <f t="shared" si="15"/>
        <v>21000</v>
      </c>
      <c r="AI30" s="143">
        <v>4.2</v>
      </c>
      <c r="AJ30" s="144"/>
      <c r="AK30" s="222"/>
    </row>
    <row r="31" spans="1:37" ht="41.4" customHeight="1" x14ac:dyDescent="0.3">
      <c r="A31" s="145">
        <v>15</v>
      </c>
      <c r="B31" s="131" t="s">
        <v>42</v>
      </c>
      <c r="C31" s="132" t="s">
        <v>46</v>
      </c>
      <c r="D31" s="132" t="s">
        <v>125</v>
      </c>
      <c r="E31" s="133" t="s">
        <v>103</v>
      </c>
      <c r="F31" s="175">
        <v>126.85367100000001</v>
      </c>
      <c r="G31" s="175">
        <v>-8.7392339999999997</v>
      </c>
      <c r="H31" s="175">
        <v>126.860315</v>
      </c>
      <c r="I31" s="175">
        <v>-8.7382530000000003</v>
      </c>
      <c r="J31" s="135">
        <v>8.5</v>
      </c>
      <c r="K31" s="133" t="s">
        <v>84</v>
      </c>
      <c r="L31" s="146" t="s">
        <v>8</v>
      </c>
      <c r="M31" s="135">
        <v>2707</v>
      </c>
      <c r="N31" s="135">
        <v>52.84</v>
      </c>
      <c r="O31" s="132">
        <f t="shared" si="12"/>
        <v>18.57</v>
      </c>
      <c r="P31" s="125">
        <f t="shared" si="13"/>
        <v>951.34348978046933</v>
      </c>
      <c r="Q31" s="165">
        <f t="shared" si="16"/>
        <v>6.9188617438579583E-2</v>
      </c>
      <c r="R31" s="139">
        <v>15</v>
      </c>
      <c r="S31" s="139">
        <v>206250</v>
      </c>
      <c r="T31" s="132"/>
      <c r="U31" s="166">
        <v>5</v>
      </c>
      <c r="V31" s="138"/>
      <c r="W31" s="132"/>
      <c r="X31" s="138"/>
      <c r="Y31" s="132"/>
      <c r="Z31" s="168">
        <f>S31*AA31</f>
        <v>577500</v>
      </c>
      <c r="AA31" s="169">
        <v>2.8</v>
      </c>
      <c r="AB31" s="170">
        <f t="shared" si="14"/>
        <v>577500</v>
      </c>
      <c r="AC31" s="171">
        <f>AA31</f>
        <v>2.8</v>
      </c>
      <c r="AD31" s="168">
        <f>S31*AE31</f>
        <v>577500</v>
      </c>
      <c r="AE31" s="172">
        <f>AC31</f>
        <v>2.8</v>
      </c>
      <c r="AF31" s="173">
        <f>5000*AG31</f>
        <v>42500</v>
      </c>
      <c r="AG31" s="141">
        <v>8.5</v>
      </c>
      <c r="AH31" s="174">
        <f t="shared" si="15"/>
        <v>42500</v>
      </c>
      <c r="AI31" s="143">
        <v>8.5</v>
      </c>
      <c r="AJ31" s="144"/>
      <c r="AK31" s="222"/>
    </row>
    <row r="32" spans="1:37" ht="41.4" customHeight="1" x14ac:dyDescent="0.3">
      <c r="A32" s="145">
        <v>10</v>
      </c>
      <c r="B32" s="131" t="s">
        <v>42</v>
      </c>
      <c r="C32" s="132" t="s">
        <v>44</v>
      </c>
      <c r="D32" s="132" t="s">
        <v>131</v>
      </c>
      <c r="E32" s="150" t="s">
        <v>110</v>
      </c>
      <c r="F32" s="175">
        <v>126.976018</v>
      </c>
      <c r="G32" s="175">
        <v>-8.3452190000000002</v>
      </c>
      <c r="H32" s="175">
        <v>127.022965</v>
      </c>
      <c r="I32" s="175">
        <v>-8.3686530000000001</v>
      </c>
      <c r="J32" s="135">
        <v>7.5</v>
      </c>
      <c r="K32" s="133" t="s">
        <v>146</v>
      </c>
      <c r="L32" s="146" t="s">
        <v>8</v>
      </c>
      <c r="M32" s="135">
        <f>3709+3345</f>
        <v>7054</v>
      </c>
      <c r="N32" s="135">
        <f>59.77+82.14</f>
        <v>141.91</v>
      </c>
      <c r="O32" s="132">
        <f t="shared" si="12"/>
        <v>16.57</v>
      </c>
      <c r="P32" s="125">
        <f t="shared" si="13"/>
        <v>823.6542879289691</v>
      </c>
      <c r="Q32" s="165">
        <f t="shared" si="16"/>
        <v>4.4926597523398309E-2</v>
      </c>
      <c r="R32" s="139">
        <v>15</v>
      </c>
      <c r="S32" s="139">
        <v>275000</v>
      </c>
      <c r="T32" s="132"/>
      <c r="U32" s="166">
        <v>6</v>
      </c>
      <c r="V32" s="138"/>
      <c r="W32" s="132"/>
      <c r="X32" s="138"/>
      <c r="Y32" s="132"/>
      <c r="Z32" s="138"/>
      <c r="AA32" s="132"/>
      <c r="AB32" s="172">
        <f t="shared" si="14"/>
        <v>687500</v>
      </c>
      <c r="AC32" s="169">
        <v>2.5</v>
      </c>
      <c r="AD32" s="168">
        <f>S32*AE32</f>
        <v>687500</v>
      </c>
      <c r="AE32" s="172">
        <f>AC32</f>
        <v>2.5</v>
      </c>
      <c r="AF32" s="168">
        <f>S32*AG32</f>
        <v>687500</v>
      </c>
      <c r="AG32" s="172">
        <f>AE32</f>
        <v>2.5</v>
      </c>
      <c r="AH32" s="174">
        <f t="shared" si="15"/>
        <v>37500</v>
      </c>
      <c r="AI32" s="178">
        <v>7.5</v>
      </c>
      <c r="AJ32" s="144"/>
      <c r="AK32" s="222"/>
    </row>
    <row r="33" spans="1:37" ht="41.4" customHeight="1" x14ac:dyDescent="0.3">
      <c r="A33" s="145">
        <v>22</v>
      </c>
      <c r="B33" s="131" t="s">
        <v>42</v>
      </c>
      <c r="C33" s="179" t="s">
        <v>95</v>
      </c>
      <c r="D33" s="179" t="s">
        <v>141</v>
      </c>
      <c r="E33" s="179" t="s">
        <v>140</v>
      </c>
      <c r="F33" s="175">
        <v>127.00926</v>
      </c>
      <c r="G33" s="175">
        <v>-8.6153080000000006</v>
      </c>
      <c r="H33" s="175">
        <v>127.007327</v>
      </c>
      <c r="I33" s="175">
        <v>-8.6199340000000007</v>
      </c>
      <c r="J33" s="166">
        <v>3</v>
      </c>
      <c r="K33" s="179" t="s">
        <v>23</v>
      </c>
      <c r="L33" s="180" t="s">
        <v>8</v>
      </c>
      <c r="M33" s="135">
        <f>3708+1655</f>
        <v>5363</v>
      </c>
      <c r="N33" s="135">
        <f>133.77+23.89</f>
        <v>157.66000000000003</v>
      </c>
      <c r="O33" s="132">
        <f t="shared" si="12"/>
        <v>7.57</v>
      </c>
      <c r="P33" s="125">
        <f t="shared" si="13"/>
        <v>257.50291767093745</v>
      </c>
      <c r="Q33" s="165">
        <f t="shared" si="16"/>
        <v>2.496997989536363E-2</v>
      </c>
      <c r="R33" s="132">
        <v>20</v>
      </c>
      <c r="S33" s="181">
        <v>206250</v>
      </c>
      <c r="T33" s="132"/>
      <c r="U33" s="166">
        <v>7</v>
      </c>
      <c r="V33" s="132"/>
      <c r="W33" s="132"/>
      <c r="X33" s="132"/>
      <c r="Y33" s="132"/>
      <c r="Z33" s="132"/>
      <c r="AA33" s="132"/>
      <c r="AB33" s="172">
        <f t="shared" si="14"/>
        <v>618750</v>
      </c>
      <c r="AC33" s="169">
        <f>J33</f>
        <v>3</v>
      </c>
      <c r="AD33" s="173">
        <f>5000*AE33</f>
        <v>15000</v>
      </c>
      <c r="AE33" s="141">
        <v>3</v>
      </c>
      <c r="AF33" s="173">
        <f>5000*AG33</f>
        <v>15000</v>
      </c>
      <c r="AG33" s="143">
        <v>3</v>
      </c>
      <c r="AH33" s="174">
        <f t="shared" si="15"/>
        <v>15000</v>
      </c>
      <c r="AI33" s="182">
        <v>3</v>
      </c>
      <c r="AJ33" s="144"/>
      <c r="AK33" s="222"/>
    </row>
    <row r="34" spans="1:37" ht="41.4" customHeight="1" x14ac:dyDescent="0.3">
      <c r="A34" s="145">
        <v>14</v>
      </c>
      <c r="B34" s="131" t="s">
        <v>90</v>
      </c>
      <c r="C34" s="132" t="s">
        <v>44</v>
      </c>
      <c r="D34" s="132" t="s">
        <v>121</v>
      </c>
      <c r="E34" s="150" t="s">
        <v>115</v>
      </c>
      <c r="F34" s="175">
        <v>126.93129999999999</v>
      </c>
      <c r="G34" s="175">
        <v>-8.3599370000000004</v>
      </c>
      <c r="H34" s="175">
        <v>126.976018</v>
      </c>
      <c r="I34" s="175">
        <v>-8.3452190000000002</v>
      </c>
      <c r="J34" s="135">
        <v>7.9</v>
      </c>
      <c r="K34" s="133" t="s">
        <v>24</v>
      </c>
      <c r="L34" s="146" t="s">
        <v>8</v>
      </c>
      <c r="M34" s="135">
        <v>3345</v>
      </c>
      <c r="N34" s="135">
        <v>82.14</v>
      </c>
      <c r="O34" s="132">
        <f t="shared" si="12"/>
        <v>17.37</v>
      </c>
      <c r="P34" s="125">
        <f t="shared" si="13"/>
        <v>707.36121256391527</v>
      </c>
      <c r="Q34" s="165">
        <f t="shared" si="16"/>
        <v>3.4296301215220135E-2</v>
      </c>
      <c r="R34" s="139">
        <v>10</v>
      </c>
      <c r="S34" s="139">
        <v>206250</v>
      </c>
      <c r="T34" s="132"/>
      <c r="U34" s="166">
        <v>8</v>
      </c>
      <c r="V34" s="138"/>
      <c r="W34" s="132"/>
      <c r="X34" s="138"/>
      <c r="Y34" s="167"/>
      <c r="Z34" s="135"/>
      <c r="AA34" s="167"/>
      <c r="AB34" s="172">
        <f t="shared" si="14"/>
        <v>536250</v>
      </c>
      <c r="AC34" s="169">
        <v>2.6</v>
      </c>
      <c r="AD34" s="168">
        <f>S34*AE34</f>
        <v>536250</v>
      </c>
      <c r="AE34" s="172">
        <f>AC34</f>
        <v>2.6</v>
      </c>
      <c r="AF34" s="168">
        <f>S34*AG34</f>
        <v>536250</v>
      </c>
      <c r="AG34" s="183">
        <f>AE34</f>
        <v>2.6</v>
      </c>
      <c r="AH34" s="174">
        <f t="shared" si="15"/>
        <v>39500</v>
      </c>
      <c r="AI34" s="182">
        <v>7.9</v>
      </c>
      <c r="AJ34" s="144"/>
      <c r="AK34" s="222"/>
    </row>
    <row r="35" spans="1:37" ht="41.4" customHeight="1" x14ac:dyDescent="0.3">
      <c r="A35" s="145">
        <v>7</v>
      </c>
      <c r="B35" s="135" t="s">
        <v>42</v>
      </c>
      <c r="C35" s="132" t="s">
        <v>44</v>
      </c>
      <c r="D35" s="132" t="s">
        <v>126</v>
      </c>
      <c r="E35" s="133" t="s">
        <v>105</v>
      </c>
      <c r="F35" s="166">
        <v>126.882902</v>
      </c>
      <c r="G35" s="166">
        <v>-8.4679020000000005</v>
      </c>
      <c r="H35" s="166">
        <v>126.885096</v>
      </c>
      <c r="I35" s="166">
        <v>-8.4903739999999992</v>
      </c>
      <c r="J35" s="135">
        <v>3.5</v>
      </c>
      <c r="K35" s="133" t="s">
        <v>84</v>
      </c>
      <c r="L35" s="146" t="s">
        <v>8</v>
      </c>
      <c r="M35" s="135">
        <v>2515</v>
      </c>
      <c r="N35" s="135">
        <v>61.27</v>
      </c>
      <c r="O35" s="132">
        <f t="shared" si="12"/>
        <v>8.57</v>
      </c>
      <c r="P35" s="125">
        <f t="shared" si="13"/>
        <v>351.77982699526689</v>
      </c>
      <c r="Q35" s="165">
        <f t="shared" si="16"/>
        <v>2.558398741783759E-2</v>
      </c>
      <c r="R35" s="139">
        <v>15</v>
      </c>
      <c r="S35" s="139">
        <v>206250</v>
      </c>
      <c r="T35" s="132"/>
      <c r="U35" s="166">
        <v>9</v>
      </c>
      <c r="V35" s="138"/>
      <c r="W35" s="132"/>
      <c r="X35" s="138"/>
      <c r="Y35" s="167"/>
      <c r="Z35" s="135"/>
      <c r="AA35" s="167"/>
      <c r="AB35" s="172">
        <f t="shared" si="14"/>
        <v>721875</v>
      </c>
      <c r="AC35" s="169">
        <f>J35</f>
        <v>3.5</v>
      </c>
      <c r="AD35" s="173">
        <f>5000*AE35</f>
        <v>17500</v>
      </c>
      <c r="AE35" s="141">
        <v>3.5</v>
      </c>
      <c r="AF35" s="173">
        <f>5000*AG35</f>
        <v>17500</v>
      </c>
      <c r="AG35" s="143">
        <v>3.5</v>
      </c>
      <c r="AH35" s="174">
        <f t="shared" si="15"/>
        <v>17500</v>
      </c>
      <c r="AI35" s="182">
        <v>3.5</v>
      </c>
      <c r="AJ35" s="144"/>
      <c r="AK35" s="222"/>
    </row>
    <row r="36" spans="1:37" ht="41.4" customHeight="1" x14ac:dyDescent="0.3">
      <c r="A36" s="145">
        <v>9</v>
      </c>
      <c r="B36" s="131" t="s">
        <v>89</v>
      </c>
      <c r="C36" s="132" t="s">
        <v>44</v>
      </c>
      <c r="D36" s="132" t="s">
        <v>134</v>
      </c>
      <c r="E36" s="133" t="s">
        <v>114</v>
      </c>
      <c r="F36" s="166">
        <v>126.911095</v>
      </c>
      <c r="G36" s="166">
        <v>-8.4023389999999996</v>
      </c>
      <c r="H36" s="175">
        <v>126.93129999999999</v>
      </c>
      <c r="I36" s="175">
        <v>-8.3599370000000004</v>
      </c>
      <c r="J36" s="135">
        <v>5.7</v>
      </c>
      <c r="K36" s="133" t="s">
        <v>24</v>
      </c>
      <c r="L36" s="146" t="s">
        <v>8</v>
      </c>
      <c r="M36" s="135">
        <f>2124+3345</f>
        <v>5469</v>
      </c>
      <c r="N36" s="135">
        <f>20.62+82.14</f>
        <v>102.76</v>
      </c>
      <c r="O36" s="132">
        <f t="shared" si="12"/>
        <v>12.97</v>
      </c>
      <c r="P36" s="125">
        <f t="shared" si="13"/>
        <v>690.27763721292331</v>
      </c>
      <c r="Q36" s="165">
        <f t="shared" si="16"/>
        <v>3.3468006652747795E-2</v>
      </c>
      <c r="R36" s="139">
        <v>10</v>
      </c>
      <c r="S36" s="139">
        <v>206250</v>
      </c>
      <c r="T36" s="132"/>
      <c r="U36" s="166">
        <v>10</v>
      </c>
      <c r="V36" s="138"/>
      <c r="W36" s="132"/>
      <c r="X36" s="138"/>
      <c r="Y36" s="132"/>
      <c r="Z36" s="138"/>
      <c r="AA36" s="132"/>
      <c r="AB36" s="172">
        <f t="shared" si="14"/>
        <v>598125</v>
      </c>
      <c r="AC36" s="169">
        <v>2.9</v>
      </c>
      <c r="AD36" s="168">
        <f>S36*AE36</f>
        <v>598125</v>
      </c>
      <c r="AE36" s="172">
        <f>AC36</f>
        <v>2.9</v>
      </c>
      <c r="AF36" s="173">
        <f>5000*AG36</f>
        <v>28500</v>
      </c>
      <c r="AG36" s="143">
        <v>5.7</v>
      </c>
      <c r="AH36" s="174">
        <f t="shared" si="15"/>
        <v>28500</v>
      </c>
      <c r="AI36" s="182">
        <v>5.7</v>
      </c>
      <c r="AJ36" s="144"/>
      <c r="AK36" s="222"/>
    </row>
    <row r="37" spans="1:37" ht="41.4" customHeight="1" x14ac:dyDescent="0.3">
      <c r="A37" s="145">
        <v>1</v>
      </c>
      <c r="B37" s="135" t="s">
        <v>93</v>
      </c>
      <c r="C37" s="132" t="s">
        <v>45</v>
      </c>
      <c r="D37" s="132" t="s">
        <v>58</v>
      </c>
      <c r="E37" s="133" t="s">
        <v>96</v>
      </c>
      <c r="F37" s="164">
        <v>126.951606</v>
      </c>
      <c r="G37" s="164">
        <v>-8.5208480000000009</v>
      </c>
      <c r="H37" s="164">
        <v>126.952022</v>
      </c>
      <c r="I37" s="164">
        <v>-8.5286249999999999</v>
      </c>
      <c r="J37" s="135">
        <v>1</v>
      </c>
      <c r="K37" s="133" t="s">
        <v>23</v>
      </c>
      <c r="L37" s="146" t="s">
        <v>8</v>
      </c>
      <c r="M37" s="135">
        <v>4111</v>
      </c>
      <c r="N37" s="135">
        <v>43.4</v>
      </c>
      <c r="O37" s="132">
        <f t="shared" si="12"/>
        <v>3.5700000000000003</v>
      </c>
      <c r="P37" s="125">
        <f t="shared" si="13"/>
        <v>338.16290322580653</v>
      </c>
      <c r="Q37" s="165">
        <f t="shared" si="16"/>
        <v>4.3284851612903234E-2</v>
      </c>
      <c r="R37" s="139">
        <v>20</v>
      </c>
      <c r="S37" s="139">
        <v>156250</v>
      </c>
      <c r="T37" s="132"/>
      <c r="U37" s="166">
        <v>11</v>
      </c>
      <c r="V37" s="138"/>
      <c r="W37" s="132"/>
      <c r="X37" s="138"/>
      <c r="Y37" s="167"/>
      <c r="Z37" s="135"/>
      <c r="AA37" s="167"/>
      <c r="AB37" s="135"/>
      <c r="AC37" s="167"/>
      <c r="AD37" s="168">
        <f>S37*AE37</f>
        <v>156250</v>
      </c>
      <c r="AE37" s="172">
        <f>J37</f>
        <v>1</v>
      </c>
      <c r="AF37" s="173">
        <f>5000*AG37</f>
        <v>5000</v>
      </c>
      <c r="AG37" s="141">
        <v>1</v>
      </c>
      <c r="AH37" s="174">
        <f t="shared" si="15"/>
        <v>5000</v>
      </c>
      <c r="AI37" s="182">
        <v>1</v>
      </c>
      <c r="AJ37" s="144"/>
      <c r="AK37" s="222"/>
    </row>
    <row r="38" spans="1:37" ht="41.4" customHeight="1" x14ac:dyDescent="0.3">
      <c r="A38" s="145">
        <v>16</v>
      </c>
      <c r="B38" s="131" t="s">
        <v>39</v>
      </c>
      <c r="C38" s="132" t="s">
        <v>45</v>
      </c>
      <c r="D38" s="132" t="s">
        <v>57</v>
      </c>
      <c r="E38" s="150" t="s">
        <v>74</v>
      </c>
      <c r="F38" s="175">
        <v>127.06660100000001</v>
      </c>
      <c r="G38" s="175">
        <v>-8.5178139999999996</v>
      </c>
      <c r="H38" s="175">
        <v>127.08969</v>
      </c>
      <c r="I38" s="175">
        <v>-8.5144680000000008</v>
      </c>
      <c r="J38" s="135">
        <v>3</v>
      </c>
      <c r="K38" s="132" t="s">
        <v>84</v>
      </c>
      <c r="L38" s="146" t="s">
        <v>8</v>
      </c>
      <c r="M38" s="135">
        <v>2785</v>
      </c>
      <c r="N38" s="135">
        <v>76.28</v>
      </c>
      <c r="O38" s="132">
        <f t="shared" si="12"/>
        <v>7.57</v>
      </c>
      <c r="P38" s="125">
        <f t="shared" si="13"/>
        <v>276.38240692186679</v>
      </c>
      <c r="Q38" s="165">
        <f t="shared" si="16"/>
        <v>2.6532711064499209E-2</v>
      </c>
      <c r="R38" s="139">
        <v>15</v>
      </c>
      <c r="S38" s="139">
        <v>156250</v>
      </c>
      <c r="T38" s="132"/>
      <c r="U38" s="166">
        <v>12</v>
      </c>
      <c r="V38" s="138"/>
      <c r="W38" s="132"/>
      <c r="X38" s="138"/>
      <c r="Y38" s="167"/>
      <c r="Z38" s="135"/>
      <c r="AA38" s="167"/>
      <c r="AB38" s="135"/>
      <c r="AC38" s="167"/>
      <c r="AD38" s="168">
        <f>S38*AE38</f>
        <v>468750</v>
      </c>
      <c r="AE38" s="172">
        <f>J38</f>
        <v>3</v>
      </c>
      <c r="AF38" s="173">
        <f>5000*AG38</f>
        <v>15000</v>
      </c>
      <c r="AG38" s="141">
        <v>3</v>
      </c>
      <c r="AH38" s="174">
        <f t="shared" si="15"/>
        <v>15000</v>
      </c>
      <c r="AI38" s="182">
        <v>3</v>
      </c>
      <c r="AJ38" s="144"/>
      <c r="AK38" s="222"/>
    </row>
    <row r="39" spans="1:37" ht="41.4" customHeight="1" x14ac:dyDescent="0.3">
      <c r="A39" s="145">
        <v>13</v>
      </c>
      <c r="B39" s="131" t="s">
        <v>42</v>
      </c>
      <c r="C39" s="132" t="s">
        <v>46</v>
      </c>
      <c r="D39" s="132" t="s">
        <v>125</v>
      </c>
      <c r="E39" s="133" t="s">
        <v>102</v>
      </c>
      <c r="F39" s="175">
        <v>126.826892</v>
      </c>
      <c r="G39" s="175">
        <v>-8.7096719999999994</v>
      </c>
      <c r="H39" s="175">
        <v>126.833938</v>
      </c>
      <c r="I39" s="175">
        <v>-8.7219470000000001</v>
      </c>
      <c r="J39" s="135">
        <v>3</v>
      </c>
      <c r="K39" s="133" t="s">
        <v>84</v>
      </c>
      <c r="L39" s="146" t="s">
        <v>8</v>
      </c>
      <c r="M39" s="135">
        <v>2707</v>
      </c>
      <c r="N39" s="135">
        <v>52.84</v>
      </c>
      <c r="O39" s="132">
        <f t="shared" si="12"/>
        <v>7.57</v>
      </c>
      <c r="P39" s="125">
        <f t="shared" si="13"/>
        <v>387.81207418622256</v>
      </c>
      <c r="Q39" s="165">
        <f t="shared" si="16"/>
        <v>2.1153385864703049E-2</v>
      </c>
      <c r="R39" s="139">
        <v>15</v>
      </c>
      <c r="S39" s="139">
        <v>275000</v>
      </c>
      <c r="T39" s="132"/>
      <c r="U39" s="166">
        <v>13</v>
      </c>
      <c r="V39" s="138"/>
      <c r="W39" s="132"/>
      <c r="X39" s="138"/>
      <c r="Y39" s="132"/>
      <c r="Z39" s="138"/>
      <c r="AA39" s="167"/>
      <c r="AB39" s="135"/>
      <c r="AC39" s="167"/>
      <c r="AD39" s="168">
        <f>S39*AE39</f>
        <v>412500</v>
      </c>
      <c r="AE39" s="172">
        <v>1.5</v>
      </c>
      <c r="AF39" s="168">
        <f>S39*AG39</f>
        <v>412500</v>
      </c>
      <c r="AG39" s="172">
        <f>AE39</f>
        <v>1.5</v>
      </c>
      <c r="AH39" s="174">
        <f t="shared" si="15"/>
        <v>15000</v>
      </c>
      <c r="AI39" s="182">
        <v>3</v>
      </c>
      <c r="AJ39" s="144"/>
      <c r="AK39" s="222"/>
    </row>
    <row r="40" spans="1:37" ht="41.4" customHeight="1" x14ac:dyDescent="0.3">
      <c r="A40" s="145">
        <v>17</v>
      </c>
      <c r="B40" s="131" t="s">
        <v>39</v>
      </c>
      <c r="C40" s="132" t="s">
        <v>45</v>
      </c>
      <c r="D40" s="132" t="s">
        <v>57</v>
      </c>
      <c r="E40" s="150" t="s">
        <v>117</v>
      </c>
      <c r="F40" s="175">
        <v>127.08969</v>
      </c>
      <c r="G40" s="175">
        <v>-8.5144680000000008</v>
      </c>
      <c r="H40" s="175">
        <v>127.111547</v>
      </c>
      <c r="I40" s="175">
        <v>-8.4924769999999992</v>
      </c>
      <c r="J40" s="135">
        <v>3.5</v>
      </c>
      <c r="K40" s="133" t="s">
        <v>24</v>
      </c>
      <c r="L40" s="146" t="s">
        <v>8</v>
      </c>
      <c r="M40" s="135">
        <v>2785</v>
      </c>
      <c r="N40" s="135">
        <v>76.28</v>
      </c>
      <c r="O40" s="132">
        <f t="shared" si="12"/>
        <v>8.57</v>
      </c>
      <c r="P40" s="125">
        <f t="shared" si="13"/>
        <v>312.89263240692185</v>
      </c>
      <c r="Q40" s="165">
        <f t="shared" si="16"/>
        <v>2.0025128474042999E-2</v>
      </c>
      <c r="R40" s="139">
        <v>10</v>
      </c>
      <c r="S40" s="139">
        <v>156250</v>
      </c>
      <c r="T40" s="132"/>
      <c r="U40" s="166">
        <v>14</v>
      </c>
      <c r="V40" s="138"/>
      <c r="W40" s="132"/>
      <c r="X40" s="138"/>
      <c r="Y40" s="132"/>
      <c r="Z40" s="138"/>
      <c r="AA40" s="132"/>
      <c r="AB40" s="138"/>
      <c r="AC40" s="167"/>
      <c r="AD40" s="168">
        <f>S40*AE40</f>
        <v>546875</v>
      </c>
      <c r="AE40" s="172">
        <f>J40</f>
        <v>3.5</v>
      </c>
      <c r="AF40" s="173">
        <f>5000*AG40</f>
        <v>17500</v>
      </c>
      <c r="AG40" s="141">
        <v>3.5</v>
      </c>
      <c r="AH40" s="174">
        <f t="shared" si="15"/>
        <v>17500</v>
      </c>
      <c r="AI40" s="182">
        <v>3.5</v>
      </c>
      <c r="AJ40" s="144"/>
      <c r="AK40" s="222"/>
    </row>
    <row r="41" spans="1:37" ht="41.4" customHeight="1" x14ac:dyDescent="0.3">
      <c r="A41" s="145">
        <v>19</v>
      </c>
      <c r="B41" s="131" t="s">
        <v>41</v>
      </c>
      <c r="C41" s="132" t="s">
        <v>46</v>
      </c>
      <c r="D41" s="132" t="s">
        <v>133</v>
      </c>
      <c r="E41" s="150" t="s">
        <v>113</v>
      </c>
      <c r="F41" s="175">
        <v>126.828141</v>
      </c>
      <c r="G41" s="175">
        <v>-8.6896930000000001</v>
      </c>
      <c r="H41" s="166">
        <v>126.82643299999999</v>
      </c>
      <c r="I41" s="166">
        <v>-8.7008010000000002</v>
      </c>
      <c r="J41" s="135">
        <v>4</v>
      </c>
      <c r="K41" s="133" t="s">
        <v>84</v>
      </c>
      <c r="L41" s="146" t="s">
        <v>8</v>
      </c>
      <c r="M41" s="135">
        <f>2707+2049</f>
        <v>4756</v>
      </c>
      <c r="N41" s="135">
        <f>52.85+71.5</f>
        <v>124.35</v>
      </c>
      <c r="O41" s="132">
        <f t="shared" si="12"/>
        <v>9.57</v>
      </c>
      <c r="P41" s="125">
        <f t="shared" si="13"/>
        <v>366.0226779252111</v>
      </c>
      <c r="Q41" s="165">
        <f t="shared" si="16"/>
        <v>2.6619831121833536E-2</v>
      </c>
      <c r="R41" s="139">
        <v>15</v>
      </c>
      <c r="S41" s="139">
        <v>206250</v>
      </c>
      <c r="T41" s="132"/>
      <c r="U41" s="166">
        <v>15</v>
      </c>
      <c r="V41" s="138"/>
      <c r="W41" s="132"/>
      <c r="X41" s="138"/>
      <c r="Y41" s="132"/>
      <c r="Z41" s="138"/>
      <c r="AA41" s="132"/>
      <c r="AB41" s="138"/>
      <c r="AC41" s="167"/>
      <c r="AD41" s="135"/>
      <c r="AE41" s="138"/>
      <c r="AF41" s="172">
        <f>S41*AG41</f>
        <v>412500</v>
      </c>
      <c r="AG41" s="172">
        <v>2</v>
      </c>
      <c r="AH41" s="168">
        <f>S41*AI41</f>
        <v>412500</v>
      </c>
      <c r="AI41" s="183">
        <f>AG41</f>
        <v>2</v>
      </c>
      <c r="AJ41" s="144"/>
      <c r="AK41" s="222"/>
    </row>
    <row r="42" spans="1:37" ht="41.4" customHeight="1" x14ac:dyDescent="0.3">
      <c r="A42" s="145">
        <v>18</v>
      </c>
      <c r="B42" s="131" t="s">
        <v>42</v>
      </c>
      <c r="C42" s="132" t="s">
        <v>95</v>
      </c>
      <c r="D42" s="132" t="s">
        <v>128</v>
      </c>
      <c r="E42" s="150" t="s">
        <v>107</v>
      </c>
      <c r="F42" s="175">
        <v>127.010875</v>
      </c>
      <c r="G42" s="175">
        <v>-8.6117260000000009</v>
      </c>
      <c r="H42" s="175">
        <v>127.048399</v>
      </c>
      <c r="I42" s="175">
        <v>-8.6006129999999992</v>
      </c>
      <c r="J42" s="135">
        <v>5</v>
      </c>
      <c r="K42" s="133" t="s">
        <v>24</v>
      </c>
      <c r="L42" s="146" t="s">
        <v>8</v>
      </c>
      <c r="M42" s="135">
        <v>3708</v>
      </c>
      <c r="N42" s="135">
        <v>133.69999999999999</v>
      </c>
      <c r="O42" s="132">
        <f t="shared" si="12"/>
        <v>11.57</v>
      </c>
      <c r="P42" s="125">
        <f t="shared" si="13"/>
        <v>320.87928197456995</v>
      </c>
      <c r="Q42" s="165">
        <f t="shared" si="16"/>
        <v>1.5557783368463998E-2</v>
      </c>
      <c r="R42" s="139">
        <v>10</v>
      </c>
      <c r="S42" s="139">
        <v>206250</v>
      </c>
      <c r="T42" s="132"/>
      <c r="U42" s="166">
        <v>16</v>
      </c>
      <c r="V42" s="138"/>
      <c r="W42" s="132"/>
      <c r="X42" s="138"/>
      <c r="Y42" s="132"/>
      <c r="Z42" s="138"/>
      <c r="AA42" s="167"/>
      <c r="AB42" s="135"/>
      <c r="AC42" s="167"/>
      <c r="AD42" s="135"/>
      <c r="AE42" s="138"/>
      <c r="AF42" s="172">
        <f>S42*AG42</f>
        <v>515625</v>
      </c>
      <c r="AG42" s="172">
        <v>2.5</v>
      </c>
      <c r="AH42" s="168">
        <f>S42*AI42</f>
        <v>515625</v>
      </c>
      <c r="AI42" s="183">
        <f>AG42</f>
        <v>2.5</v>
      </c>
      <c r="AJ42" s="144"/>
      <c r="AK42" s="222"/>
    </row>
    <row r="43" spans="1:37" ht="41.4" customHeight="1" x14ac:dyDescent="0.3">
      <c r="A43" s="145">
        <v>11</v>
      </c>
      <c r="B43" s="131" t="s">
        <v>42</v>
      </c>
      <c r="C43" s="132" t="s">
        <v>46</v>
      </c>
      <c r="D43" s="132" t="s">
        <v>125</v>
      </c>
      <c r="E43" s="150" t="s">
        <v>108</v>
      </c>
      <c r="F43" s="166">
        <v>126.82301</v>
      </c>
      <c r="G43" s="166">
        <v>-8.7128040000000002</v>
      </c>
      <c r="H43" s="166">
        <v>126.80778599999999</v>
      </c>
      <c r="I43" s="166">
        <v>-8.7185459999999999</v>
      </c>
      <c r="J43" s="135">
        <v>2.5</v>
      </c>
      <c r="K43" s="133" t="s">
        <v>84</v>
      </c>
      <c r="L43" s="146" t="s">
        <v>8</v>
      </c>
      <c r="M43" s="135">
        <v>2707</v>
      </c>
      <c r="N43" s="135">
        <v>52.84</v>
      </c>
      <c r="O43" s="132">
        <f t="shared" si="12"/>
        <v>6.57</v>
      </c>
      <c r="P43" s="125">
        <f t="shared" si="13"/>
        <v>336.58194549583646</v>
      </c>
      <c r="Q43" s="165">
        <f t="shared" si="16"/>
        <v>1.8359015208863808E-2</v>
      </c>
      <c r="R43" s="139">
        <v>15</v>
      </c>
      <c r="S43" s="139">
        <v>275000</v>
      </c>
      <c r="T43" s="132"/>
      <c r="U43" s="166">
        <v>17</v>
      </c>
      <c r="V43" s="138"/>
      <c r="W43" s="132"/>
      <c r="X43" s="138"/>
      <c r="Y43" s="132"/>
      <c r="Z43" s="138"/>
      <c r="AA43" s="132"/>
      <c r="AB43" s="138"/>
      <c r="AC43" s="167"/>
      <c r="AD43" s="135"/>
      <c r="AE43" s="138"/>
      <c r="AF43" s="172">
        <f>S43*AG43</f>
        <v>687500</v>
      </c>
      <c r="AG43" s="172">
        <f>J43</f>
        <v>2.5</v>
      </c>
      <c r="AH43" s="173">
        <f>5000*AI43</f>
        <v>25000</v>
      </c>
      <c r="AI43" s="143">
        <v>5</v>
      </c>
      <c r="AJ43" s="144"/>
      <c r="AK43" s="222"/>
    </row>
    <row r="44" spans="1:37" ht="41.4" customHeight="1" x14ac:dyDescent="0.3">
      <c r="A44" s="145">
        <v>21</v>
      </c>
      <c r="B44" s="131" t="s">
        <v>42</v>
      </c>
      <c r="C44" s="132" t="s">
        <v>46</v>
      </c>
      <c r="D44" s="132" t="s">
        <v>125</v>
      </c>
      <c r="E44" s="133" t="s">
        <v>104</v>
      </c>
      <c r="F44" s="175">
        <v>126.83604099999999</v>
      </c>
      <c r="G44" s="175">
        <v>-8.6817060000000001</v>
      </c>
      <c r="H44" s="175">
        <v>126.859624</v>
      </c>
      <c r="I44" s="175">
        <v>-8.6872249999999998</v>
      </c>
      <c r="J44" s="135">
        <v>3.05</v>
      </c>
      <c r="K44" s="133" t="s">
        <v>84</v>
      </c>
      <c r="L44" s="146" t="s">
        <v>8</v>
      </c>
      <c r="M44" s="135">
        <v>1150</v>
      </c>
      <c r="N44" s="135">
        <v>97.5</v>
      </c>
      <c r="O44" s="132">
        <f t="shared" si="12"/>
        <v>7.67</v>
      </c>
      <c r="P44" s="125">
        <f t="shared" si="13"/>
        <v>90.466666666666669</v>
      </c>
      <c r="Q44" s="165">
        <f t="shared" si="16"/>
        <v>4.9345454545454545E-3</v>
      </c>
      <c r="R44" s="139">
        <v>15</v>
      </c>
      <c r="S44" s="139">
        <v>275000</v>
      </c>
      <c r="T44" s="132"/>
      <c r="U44" s="166">
        <v>18</v>
      </c>
      <c r="V44" s="138"/>
      <c r="W44" s="132"/>
      <c r="X44" s="138"/>
      <c r="Y44" s="167"/>
      <c r="Z44" s="135"/>
      <c r="AA44" s="167"/>
      <c r="AB44" s="135"/>
      <c r="AC44" s="167"/>
      <c r="AD44" s="135"/>
      <c r="AE44" s="138"/>
      <c r="AF44" s="172">
        <f>S44*AG44</f>
        <v>426250</v>
      </c>
      <c r="AG44" s="172">
        <v>1.55</v>
      </c>
      <c r="AH44" s="168">
        <f>S44*AI44</f>
        <v>426250</v>
      </c>
      <c r="AI44" s="183">
        <f>AG44</f>
        <v>1.55</v>
      </c>
      <c r="AJ44" s="144"/>
      <c r="AK44" s="222"/>
    </row>
    <row r="45" spans="1:37" ht="41.4" customHeight="1" x14ac:dyDescent="0.3">
      <c r="A45" s="145">
        <v>5</v>
      </c>
      <c r="B45" s="131" t="s">
        <v>88</v>
      </c>
      <c r="C45" s="132" t="s">
        <v>44</v>
      </c>
      <c r="D45" s="132" t="s">
        <v>132</v>
      </c>
      <c r="E45" s="150" t="s">
        <v>112</v>
      </c>
      <c r="F45" s="175">
        <v>126.848935</v>
      </c>
      <c r="G45" s="175">
        <v>-8.5179659999999995</v>
      </c>
      <c r="H45" s="175">
        <v>126.888716</v>
      </c>
      <c r="I45" s="175">
        <v>-8.4564819999999994</v>
      </c>
      <c r="J45" s="135">
        <v>10.3</v>
      </c>
      <c r="K45" s="133" t="s">
        <v>135</v>
      </c>
      <c r="L45" s="184" t="s">
        <v>25</v>
      </c>
      <c r="M45" s="135">
        <v>1603</v>
      </c>
      <c r="N45" s="135">
        <v>45.26</v>
      </c>
      <c r="O45" s="132">
        <f t="shared" si="12"/>
        <v>22.17</v>
      </c>
      <c r="P45" s="125">
        <f t="shared" si="13"/>
        <v>785.20790985417602</v>
      </c>
      <c r="Q45" s="165">
        <f t="shared" si="16"/>
        <v>0</v>
      </c>
      <c r="R45" s="139"/>
      <c r="S45" s="139">
        <v>5000</v>
      </c>
      <c r="T45" s="132"/>
      <c r="U45" s="166">
        <v>19</v>
      </c>
      <c r="V45" s="138"/>
      <c r="W45" s="132"/>
      <c r="X45" s="138"/>
      <c r="Y45" s="132"/>
      <c r="Z45" s="141">
        <f>5000*AA45</f>
        <v>51500</v>
      </c>
      <c r="AA45" s="178">
        <f>J45</f>
        <v>10.3</v>
      </c>
      <c r="AB45" s="185">
        <f>5000*AC45</f>
        <v>51500</v>
      </c>
      <c r="AC45" s="140">
        <f>AA45</f>
        <v>10.3</v>
      </c>
      <c r="AD45" s="185">
        <f>5000*AE45</f>
        <v>51500</v>
      </c>
      <c r="AE45" s="141">
        <f>AC45</f>
        <v>10.3</v>
      </c>
      <c r="AF45" s="186">
        <f>31250*AG45</f>
        <v>321875</v>
      </c>
      <c r="AG45" s="142">
        <f>AE45</f>
        <v>10.3</v>
      </c>
      <c r="AH45" s="173">
        <f>5000*AI45</f>
        <v>51500</v>
      </c>
      <c r="AI45" s="182">
        <f>AG45</f>
        <v>10.3</v>
      </c>
      <c r="AJ45" s="144"/>
      <c r="AK45" s="222"/>
    </row>
    <row r="46" spans="1:37" ht="41.4" customHeight="1" x14ac:dyDescent="0.3">
      <c r="A46" s="145">
        <v>6</v>
      </c>
      <c r="B46" s="131" t="s">
        <v>93</v>
      </c>
      <c r="C46" s="132" t="s">
        <v>45</v>
      </c>
      <c r="D46" s="132" t="s">
        <v>58</v>
      </c>
      <c r="E46" s="150" t="s">
        <v>119</v>
      </c>
      <c r="F46" s="175">
        <v>126.96513400000001</v>
      </c>
      <c r="G46" s="175">
        <v>-8.5304369999999992</v>
      </c>
      <c r="H46" s="187">
        <v>126.927727</v>
      </c>
      <c r="I46" s="187">
        <v>-8.5332489999999996</v>
      </c>
      <c r="J46" s="188">
        <v>5.8</v>
      </c>
      <c r="K46" s="189" t="s">
        <v>144</v>
      </c>
      <c r="L46" s="190" t="s">
        <v>25</v>
      </c>
      <c r="M46" s="188">
        <v>4111</v>
      </c>
      <c r="N46" s="188">
        <f>43.4</f>
        <v>43.4</v>
      </c>
      <c r="O46" s="132">
        <f t="shared" si="12"/>
        <v>13.17</v>
      </c>
      <c r="P46" s="125">
        <f t="shared" si="13"/>
        <v>1247.5085253456223</v>
      </c>
      <c r="Q46" s="165">
        <f t="shared" si="16"/>
        <v>0</v>
      </c>
      <c r="R46" s="139"/>
      <c r="S46" s="191">
        <v>5000</v>
      </c>
      <c r="T46" s="132"/>
      <c r="U46" s="166">
        <v>20</v>
      </c>
      <c r="V46" s="138"/>
      <c r="W46" s="132"/>
      <c r="X46" s="138"/>
      <c r="Y46" s="132"/>
      <c r="Z46" s="141">
        <f>5000*AA46</f>
        <v>29000</v>
      </c>
      <c r="AA46" s="178">
        <f>J46</f>
        <v>5.8</v>
      </c>
      <c r="AB46" s="185">
        <f>5000*AC46</f>
        <v>29000</v>
      </c>
      <c r="AC46" s="140">
        <f>AA46</f>
        <v>5.8</v>
      </c>
      <c r="AD46" s="185">
        <f>5000*AE46</f>
        <v>29000</v>
      </c>
      <c r="AE46" s="141">
        <f>AC46</f>
        <v>5.8</v>
      </c>
      <c r="AF46" s="186">
        <f>31250*AG46</f>
        <v>181250</v>
      </c>
      <c r="AG46" s="142">
        <f>AE46</f>
        <v>5.8</v>
      </c>
      <c r="AH46" s="173">
        <f>5000*AI46</f>
        <v>29000</v>
      </c>
      <c r="AI46" s="182">
        <f>AG46</f>
        <v>5.8</v>
      </c>
      <c r="AJ46" s="144"/>
      <c r="AK46" s="222"/>
    </row>
    <row r="47" spans="1:37" ht="41.4" customHeight="1" x14ac:dyDescent="0.3">
      <c r="A47" s="145">
        <v>8</v>
      </c>
      <c r="B47" s="131" t="s">
        <v>91</v>
      </c>
      <c r="C47" s="132" t="s">
        <v>44</v>
      </c>
      <c r="D47" s="132" t="s">
        <v>121</v>
      </c>
      <c r="E47" s="150" t="s">
        <v>116</v>
      </c>
      <c r="F47" s="175">
        <v>126.918738</v>
      </c>
      <c r="G47" s="175">
        <v>-8.3512190000000004</v>
      </c>
      <c r="H47" s="175">
        <v>126.93129999999999</v>
      </c>
      <c r="I47" s="175">
        <v>-8.3599370000000004</v>
      </c>
      <c r="J47" s="135">
        <v>2.1</v>
      </c>
      <c r="K47" s="133" t="s">
        <v>135</v>
      </c>
      <c r="L47" s="184" t="s">
        <v>25</v>
      </c>
      <c r="M47" s="135">
        <v>3345</v>
      </c>
      <c r="N47" s="135">
        <v>82.14</v>
      </c>
      <c r="O47" s="132">
        <f t="shared" si="12"/>
        <v>5.7700000000000005</v>
      </c>
      <c r="P47" s="125">
        <f t="shared" si="13"/>
        <v>234.97260774287804</v>
      </c>
      <c r="Q47" s="165">
        <f t="shared" si="16"/>
        <v>0</v>
      </c>
      <c r="R47" s="139"/>
      <c r="S47" s="139">
        <v>5000</v>
      </c>
      <c r="T47" s="132"/>
      <c r="U47" s="192">
        <v>21</v>
      </c>
      <c r="V47" s="201"/>
      <c r="W47" s="193"/>
      <c r="X47" s="201"/>
      <c r="Y47" s="202"/>
      <c r="Z47" s="141">
        <f>5000*AA47</f>
        <v>10500</v>
      </c>
      <c r="AA47" s="178">
        <f>J47</f>
        <v>2.1</v>
      </c>
      <c r="AB47" s="185">
        <f>5000*AC47</f>
        <v>10500</v>
      </c>
      <c r="AC47" s="140">
        <f>AA47</f>
        <v>2.1</v>
      </c>
      <c r="AD47" s="185">
        <f>5000*AE47</f>
        <v>10500</v>
      </c>
      <c r="AE47" s="141">
        <f>AC47</f>
        <v>2.1</v>
      </c>
      <c r="AF47" s="186">
        <f>31250*AG47</f>
        <v>65625</v>
      </c>
      <c r="AG47" s="142">
        <f>AE47</f>
        <v>2.1</v>
      </c>
      <c r="AH47" s="173">
        <f>5000*AI47</f>
        <v>10500</v>
      </c>
      <c r="AI47" s="182">
        <f>AG47</f>
        <v>2.1</v>
      </c>
      <c r="AJ47" s="194"/>
      <c r="AK47" s="222"/>
    </row>
    <row r="48" spans="1:37" ht="41.4" customHeight="1" thickBot="1" x14ac:dyDescent="0.35">
      <c r="A48" s="224">
        <v>20</v>
      </c>
      <c r="B48" s="225" t="s">
        <v>87</v>
      </c>
      <c r="C48" s="226" t="s">
        <v>94</v>
      </c>
      <c r="D48" s="226" t="s">
        <v>94</v>
      </c>
      <c r="E48" s="227" t="s">
        <v>111</v>
      </c>
      <c r="F48" s="228">
        <v>127.255039</v>
      </c>
      <c r="G48" s="228">
        <v>-8.3953900000000008</v>
      </c>
      <c r="H48" s="228">
        <v>127.300624</v>
      </c>
      <c r="I48" s="228">
        <v>-8.4146269999999994</v>
      </c>
      <c r="J48" s="225">
        <v>8</v>
      </c>
      <c r="K48" s="227" t="s">
        <v>135</v>
      </c>
      <c r="L48" s="229" t="s">
        <v>25</v>
      </c>
      <c r="M48" s="225">
        <v>1989</v>
      </c>
      <c r="N48" s="225">
        <v>119.69</v>
      </c>
      <c r="O48" s="226">
        <f t="shared" si="12"/>
        <v>17.57</v>
      </c>
      <c r="P48" s="230">
        <f t="shared" si="13"/>
        <v>291.97702397861138</v>
      </c>
      <c r="Q48" s="231">
        <f t="shared" si="16"/>
        <v>0</v>
      </c>
      <c r="R48" s="232"/>
      <c r="S48" s="232">
        <v>5000</v>
      </c>
      <c r="T48" s="226"/>
      <c r="U48" s="233">
        <v>22</v>
      </c>
      <c r="V48" s="234"/>
      <c r="W48" s="226"/>
      <c r="X48" s="234"/>
      <c r="Y48" s="226"/>
      <c r="Z48" s="235">
        <f>5000*AA48</f>
        <v>40000</v>
      </c>
      <c r="AA48" s="236">
        <f>J48</f>
        <v>8</v>
      </c>
      <c r="AB48" s="237">
        <f>5000*AC48</f>
        <v>40000</v>
      </c>
      <c r="AC48" s="238">
        <f>AA48</f>
        <v>8</v>
      </c>
      <c r="AD48" s="237">
        <f>5000*AE48</f>
        <v>40000</v>
      </c>
      <c r="AE48" s="235">
        <f>AC48</f>
        <v>8</v>
      </c>
      <c r="AF48" s="239">
        <f>31250*AG48</f>
        <v>250000</v>
      </c>
      <c r="AG48" s="240">
        <f>AE48</f>
        <v>8</v>
      </c>
      <c r="AH48" s="241">
        <f>5000*AI48</f>
        <v>40000</v>
      </c>
      <c r="AI48" s="242">
        <f>AG48</f>
        <v>8</v>
      </c>
      <c r="AJ48" s="243"/>
      <c r="AK48" s="244"/>
    </row>
    <row r="49" spans="1:37" ht="36.65" customHeight="1" x14ac:dyDescent="0.45">
      <c r="A49" s="563" t="s">
        <v>142</v>
      </c>
      <c r="B49" s="564"/>
      <c r="C49" s="564"/>
      <c r="D49" s="564"/>
      <c r="E49" s="564"/>
      <c r="F49" s="564"/>
      <c r="G49" s="564"/>
      <c r="H49" s="564"/>
      <c r="I49" s="564"/>
      <c r="J49" s="564"/>
      <c r="K49" s="565"/>
      <c r="L49" s="102" t="s">
        <v>17</v>
      </c>
      <c r="M49" s="93"/>
      <c r="N49" s="93"/>
      <c r="O49" s="93"/>
      <c r="P49" s="93"/>
      <c r="Q49" s="93"/>
      <c r="R49" s="93"/>
      <c r="S49" s="93"/>
      <c r="T49" s="94"/>
      <c r="U49" s="95"/>
      <c r="V49" s="103">
        <v>0</v>
      </c>
      <c r="W49" s="103">
        <v>0</v>
      </c>
      <c r="X49" s="103">
        <v>0</v>
      </c>
      <c r="Y49" s="103">
        <v>0</v>
      </c>
      <c r="Z49" s="104">
        <f>SUM(Z9:Z25)+SUM(Z45:Z48)</f>
        <v>430750</v>
      </c>
      <c r="AA49" s="105">
        <f>SUM(AA9:AA25)+SUM(AA45:AA48)</f>
        <v>86.15</v>
      </c>
      <c r="AB49" s="104">
        <f>SUM(AB10:AB25)+SUM(AB45:AB48)</f>
        <v>395750</v>
      </c>
      <c r="AC49" s="105">
        <f>SUM(AC9:AC25)+SUM(AC45:AC48)</f>
        <v>86.15</v>
      </c>
      <c r="AD49" s="106">
        <f>SUM(AD9:AD25)+AD29+AD30+AD33+AD35+SUM(AD45:AD48)</f>
        <v>508000</v>
      </c>
      <c r="AE49" s="107">
        <f>SUM(AE9:AE25)+AE29+AE30+AE33+AE35+SUM(AE45:AE48)</f>
        <v>101.60000000000002</v>
      </c>
      <c r="AF49" s="106">
        <f>SUM(AF27:AF31)+AF33+SUM(AF35:AF38)+AF40</f>
        <v>265500</v>
      </c>
      <c r="AG49" s="106">
        <f>SUM(AG27:AG31)+AG33+SUM(AG35:AG38)+AG40</f>
        <v>53.099999999999994</v>
      </c>
      <c r="AH49" s="106">
        <f>SUM(AH9:AH25)+SUM(AH27:AH40)+AH43+SUM(AH45:AH48)</f>
        <v>813250</v>
      </c>
      <c r="AI49" s="108">
        <f>SUM(AI9:AI25)+SUM(AI27:AI40)+AI43+SUM(AI45:AI48)</f>
        <v>162.65000000000003</v>
      </c>
      <c r="AJ49" s="109">
        <f>V49+X49+Z49+AB49+AD49+AF49+AH49</f>
        <v>2413250</v>
      </c>
      <c r="AK49" s="248">
        <f>W49+Y49+AA49+AC49+AE49+AG49+AI49</f>
        <v>489.65000000000003</v>
      </c>
    </row>
    <row r="50" spans="1:37" ht="36.65" customHeight="1" x14ac:dyDescent="0.45">
      <c r="A50" s="566"/>
      <c r="B50" s="567"/>
      <c r="C50" s="567"/>
      <c r="D50" s="567"/>
      <c r="E50" s="567"/>
      <c r="F50" s="567"/>
      <c r="G50" s="567"/>
      <c r="H50" s="567"/>
      <c r="I50" s="567"/>
      <c r="J50" s="567"/>
      <c r="K50" s="568"/>
      <c r="L50" s="110" t="s">
        <v>18</v>
      </c>
      <c r="M50" s="92"/>
      <c r="N50" s="92"/>
      <c r="O50" s="92"/>
      <c r="P50" s="92"/>
      <c r="Q50" s="92"/>
      <c r="R50" s="92"/>
      <c r="S50" s="92"/>
      <c r="T50" s="96"/>
      <c r="U50" s="97"/>
      <c r="V50" s="111">
        <v>0</v>
      </c>
      <c r="W50" s="111">
        <v>0</v>
      </c>
      <c r="X50" s="111">
        <v>0</v>
      </c>
      <c r="Y50" s="111">
        <v>0</v>
      </c>
      <c r="Z50" s="111">
        <v>0</v>
      </c>
      <c r="AA50" s="111">
        <v>0</v>
      </c>
      <c r="AB50" s="111">
        <v>0</v>
      </c>
      <c r="AC50" s="112">
        <v>0</v>
      </c>
      <c r="AD50" s="113">
        <v>0</v>
      </c>
      <c r="AE50" s="113">
        <v>0</v>
      </c>
      <c r="AF50" s="113">
        <f>SUM(AF9:AF25)+SUM(AF45:AF48)</f>
        <v>2692187.5</v>
      </c>
      <c r="AG50" s="113">
        <f>SUM(AG9:AG25)+SUM(AG45:AG48)</f>
        <v>86.15</v>
      </c>
      <c r="AH50" s="113">
        <v>0</v>
      </c>
      <c r="AI50" s="114">
        <v>0</v>
      </c>
      <c r="AJ50" s="115">
        <f t="shared" ref="AJ50:AJ51" si="17">V50+X50+Z50+AB50+AD50+AF50+AH50</f>
        <v>2692187.5</v>
      </c>
      <c r="AK50" s="249">
        <f t="shared" ref="AK50:AK51" si="18">W50+Y50+AA50+AC50+AE50+AG50+AI50</f>
        <v>86.15</v>
      </c>
    </row>
    <row r="51" spans="1:37" ht="36.65" customHeight="1" x14ac:dyDescent="0.45">
      <c r="A51" s="566"/>
      <c r="B51" s="567"/>
      <c r="C51" s="567"/>
      <c r="D51" s="567"/>
      <c r="E51" s="567"/>
      <c r="F51" s="567"/>
      <c r="G51" s="567"/>
      <c r="H51" s="567"/>
      <c r="I51" s="567"/>
      <c r="J51" s="567"/>
      <c r="K51" s="568"/>
      <c r="L51" s="116" t="s">
        <v>19</v>
      </c>
      <c r="M51" s="92"/>
      <c r="N51" s="92"/>
      <c r="O51" s="92"/>
      <c r="P51" s="92"/>
      <c r="Q51" s="92"/>
      <c r="R51" s="92"/>
      <c r="S51" s="92"/>
      <c r="T51" s="96"/>
      <c r="U51" s="98"/>
      <c r="V51" s="117">
        <v>0</v>
      </c>
      <c r="W51" s="117">
        <v>0</v>
      </c>
      <c r="X51" s="117">
        <v>0</v>
      </c>
      <c r="Y51" s="117">
        <v>0</v>
      </c>
      <c r="Z51" s="118">
        <f>SUM(Z27:Z31)</f>
        <v>2499937.5</v>
      </c>
      <c r="AA51" s="119">
        <f>SUM(AA27:AA31)</f>
        <v>12.629999999999999</v>
      </c>
      <c r="AB51" s="118">
        <f>SUM(AB27:AB36)</f>
        <v>5662437.5</v>
      </c>
      <c r="AC51" s="119">
        <f>SUM(AC27:AC36)</f>
        <v>27.13</v>
      </c>
      <c r="AD51" s="118">
        <f>AD27+AD28+AD31+AD32+AD34+SUM(AD36:AD40)</f>
        <v>5083062.5</v>
      </c>
      <c r="AE51" s="118">
        <f>AE27+AE28+AE31+AE32+AE34+SUM(AE36:AE40)</f>
        <v>25.13</v>
      </c>
      <c r="AF51" s="118">
        <f>AF32+AF34+AF39+SUM(AF41:AF44)</f>
        <v>3678125</v>
      </c>
      <c r="AG51" s="118">
        <f>AG32+AG34+AG39+SUM(AG41:AG44)</f>
        <v>15.15</v>
      </c>
      <c r="AH51" s="118">
        <f>AH41+AH42+AH44</f>
        <v>1354375</v>
      </c>
      <c r="AI51" s="119">
        <f>AI41+AI42+AI44</f>
        <v>6.05</v>
      </c>
      <c r="AJ51" s="120">
        <f t="shared" si="17"/>
        <v>18277937.5</v>
      </c>
      <c r="AK51" s="250">
        <f t="shared" si="18"/>
        <v>86.09</v>
      </c>
    </row>
    <row r="52" spans="1:37" ht="36.65" customHeight="1" thickBot="1" x14ac:dyDescent="0.5">
      <c r="A52" s="569"/>
      <c r="B52" s="570"/>
      <c r="C52" s="570"/>
      <c r="D52" s="570"/>
      <c r="E52" s="570"/>
      <c r="F52" s="570"/>
      <c r="G52" s="570"/>
      <c r="H52" s="570"/>
      <c r="I52" s="570"/>
      <c r="J52" s="570"/>
      <c r="K52" s="571"/>
      <c r="L52" s="121" t="s">
        <v>20</v>
      </c>
      <c r="M52" s="99"/>
      <c r="N52" s="99"/>
      <c r="O52" s="99"/>
      <c r="P52" s="99"/>
      <c r="Q52" s="99"/>
      <c r="R52" s="99"/>
      <c r="S52" s="99"/>
      <c r="T52" s="100"/>
      <c r="U52" s="101"/>
      <c r="V52" s="122">
        <f>SUM(V49:V51)</f>
        <v>0</v>
      </c>
      <c r="W52" s="122">
        <f t="shared" ref="W52:AI52" si="19">SUM(W49:W51)</f>
        <v>0</v>
      </c>
      <c r="X52" s="122">
        <f t="shared" si="19"/>
        <v>0</v>
      </c>
      <c r="Y52" s="122">
        <f t="shared" si="19"/>
        <v>0</v>
      </c>
      <c r="Z52" s="122">
        <f t="shared" si="19"/>
        <v>2930687.5</v>
      </c>
      <c r="AA52" s="122">
        <f t="shared" si="19"/>
        <v>98.78</v>
      </c>
      <c r="AB52" s="122">
        <f t="shared" si="19"/>
        <v>6058187.5</v>
      </c>
      <c r="AC52" s="122">
        <f t="shared" si="19"/>
        <v>113.28</v>
      </c>
      <c r="AD52" s="122">
        <f t="shared" si="19"/>
        <v>5591062.5</v>
      </c>
      <c r="AE52" s="122">
        <f t="shared" si="19"/>
        <v>126.73000000000002</v>
      </c>
      <c r="AF52" s="122">
        <f t="shared" si="19"/>
        <v>6635812.5</v>
      </c>
      <c r="AG52" s="122">
        <f t="shared" si="19"/>
        <v>154.4</v>
      </c>
      <c r="AH52" s="122">
        <f t="shared" si="19"/>
        <v>2167625</v>
      </c>
      <c r="AI52" s="122">
        <f t="shared" si="19"/>
        <v>168.70000000000005</v>
      </c>
      <c r="AJ52" s="123">
        <f>SUM(AJ49:AJ51)</f>
        <v>23383375</v>
      </c>
      <c r="AK52" s="251">
        <f>SUM(AK49:AK51)</f>
        <v>661.8900000000001</v>
      </c>
    </row>
    <row r="53" spans="1:37" ht="18" x14ac:dyDescent="0.4">
      <c r="J53" s="90"/>
    </row>
    <row r="54" spans="1:37" ht="18" x14ac:dyDescent="0.4">
      <c r="J54" s="90"/>
    </row>
  </sheetData>
  <mergeCells count="54">
    <mergeCell ref="AD5:AE6"/>
    <mergeCell ref="AD7:AD8"/>
    <mergeCell ref="AI7:AI8"/>
    <mergeCell ref="AJ7:AJ8"/>
    <mergeCell ref="A49:K52"/>
    <mergeCell ref="R3:R8"/>
    <mergeCell ref="S3:T4"/>
    <mergeCell ref="V3:AK3"/>
    <mergeCell ref="V4:Y4"/>
    <mergeCell ref="S5:S8"/>
    <mergeCell ref="T5:T8"/>
    <mergeCell ref="V5:W6"/>
    <mergeCell ref="AA7:AA8"/>
    <mergeCell ref="AB7:AB8"/>
    <mergeCell ref="AC7:AC8"/>
    <mergeCell ref="AK7:AK8"/>
    <mergeCell ref="AF4:AK4"/>
    <mergeCell ref="Z4:AE4"/>
    <mergeCell ref="U3:U8"/>
    <mergeCell ref="AE7:AE8"/>
    <mergeCell ref="AF7:AF8"/>
    <mergeCell ref="V7:V8"/>
    <mergeCell ref="W7:W8"/>
    <mergeCell ref="X7:X8"/>
    <mergeCell ref="Y7:Y8"/>
    <mergeCell ref="Z7:Z8"/>
    <mergeCell ref="X5:Y6"/>
    <mergeCell ref="Z5:AA6"/>
    <mergeCell ref="AB5:AC6"/>
    <mergeCell ref="AJ5:AK6"/>
    <mergeCell ref="AF5:AG6"/>
    <mergeCell ref="AH5:AI6"/>
    <mergeCell ref="J3:J8"/>
    <mergeCell ref="Q3:Q8"/>
    <mergeCell ref="K5:K8"/>
    <mergeCell ref="N3:N8"/>
    <mergeCell ref="O3:O8"/>
    <mergeCell ref="P3:P8"/>
    <mergeCell ref="A1:AK1"/>
    <mergeCell ref="A3:A8"/>
    <mergeCell ref="B3:B8"/>
    <mergeCell ref="C3:C8"/>
    <mergeCell ref="D3:D8"/>
    <mergeCell ref="E3:E8"/>
    <mergeCell ref="AG7:AG8"/>
    <mergeCell ref="AH7:AH8"/>
    <mergeCell ref="F3:G4"/>
    <mergeCell ref="F5:F8"/>
    <mergeCell ref="G5:G8"/>
    <mergeCell ref="K3:L4"/>
    <mergeCell ref="M3:M8"/>
    <mergeCell ref="H3:I4"/>
    <mergeCell ref="H5:H8"/>
    <mergeCell ref="I5:I8"/>
  </mergeCells>
  <printOptions horizontalCentered="1" verticalCentered="1"/>
  <pageMargins left="0.7" right="0.7" top="0.75" bottom="0.75" header="0.3" footer="0.3"/>
  <pageSetup paperSize="8" scale="31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FDB29-7998-4809-9B61-73A02E088DC8}">
  <dimension ref="A1:Z46"/>
  <sheetViews>
    <sheetView tabSelected="1" view="pageBreakPreview" zoomScale="40" zoomScaleNormal="40" zoomScaleSheetLayoutView="40" workbookViewId="0">
      <selection activeCell="H5" sqref="H5:H8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6328125" style="1" customWidth="1"/>
    <col min="6" max="9" width="17.36328125" style="1" customWidth="1"/>
    <col min="10" max="10" width="17.453125" style="1" customWidth="1"/>
    <col min="11" max="11" width="21.36328125" style="1" customWidth="1"/>
    <col min="12" max="12" width="23.81640625" style="14" customWidth="1"/>
    <col min="13" max="15" width="12" style="1" hidden="1" customWidth="1"/>
    <col min="16" max="18" width="13" style="1" hidden="1" customWidth="1"/>
    <col min="19" max="19" width="13" style="6" hidden="1" customWidth="1"/>
    <col min="20" max="20" width="5.81640625" style="1" hidden="1" customWidth="1"/>
    <col min="21" max="21" width="12.90625" style="1" hidden="1" customWidth="1"/>
    <col min="22" max="25" width="18.81640625" style="1" customWidth="1"/>
    <col min="26" max="26" width="22.08984375" style="1" customWidth="1"/>
    <col min="27" max="27" width="13" style="1" customWidth="1"/>
    <col min="28" max="16384" width="8.81640625" style="1"/>
  </cols>
  <sheetData>
    <row r="1" spans="1:26" ht="93.65" customHeight="1" x14ac:dyDescent="0.3">
      <c r="A1" s="510" t="s">
        <v>185</v>
      </c>
      <c r="B1" s="510"/>
      <c r="C1" s="510"/>
      <c r="D1" s="510"/>
      <c r="E1" s="510"/>
      <c r="F1" s="510"/>
      <c r="G1" s="510"/>
      <c r="H1" s="510"/>
      <c r="I1" s="510"/>
      <c r="J1" s="510"/>
      <c r="K1" s="510"/>
      <c r="L1" s="510"/>
      <c r="M1" s="510"/>
      <c r="N1" s="510"/>
      <c r="O1" s="510"/>
      <c r="P1" s="510"/>
      <c r="Q1" s="510"/>
      <c r="R1" s="510"/>
      <c r="S1" s="510"/>
      <c r="T1" s="510"/>
      <c r="U1" s="510"/>
      <c r="V1" s="510"/>
      <c r="W1" s="510"/>
      <c r="X1" s="510"/>
      <c r="Y1" s="510"/>
    </row>
    <row r="2" spans="1:26" ht="46.25" customHeight="1" thickBot="1" x14ac:dyDescent="0.35">
      <c r="O2" s="91">
        <f>((3.14*2^2)/4)/2</f>
        <v>1.57</v>
      </c>
    </row>
    <row r="3" spans="1:26" ht="34.25" customHeight="1" x14ac:dyDescent="0.3">
      <c r="A3" s="654" t="s">
        <v>33</v>
      </c>
      <c r="B3" s="657" t="s">
        <v>164</v>
      </c>
      <c r="C3" s="660" t="s">
        <v>175</v>
      </c>
      <c r="D3" s="663" t="s">
        <v>174</v>
      </c>
      <c r="E3" s="663" t="s">
        <v>2</v>
      </c>
      <c r="F3" s="663" t="s">
        <v>3</v>
      </c>
      <c r="G3" s="663"/>
      <c r="H3" s="663" t="s">
        <v>147</v>
      </c>
      <c r="I3" s="663"/>
      <c r="J3" s="666" t="s">
        <v>6</v>
      </c>
      <c r="K3" s="669" t="s">
        <v>26</v>
      </c>
      <c r="L3" s="669"/>
      <c r="M3" s="623" t="s">
        <v>27</v>
      </c>
      <c r="N3" s="623" t="s">
        <v>28</v>
      </c>
      <c r="O3" s="626" t="s">
        <v>32</v>
      </c>
      <c r="P3" s="629" t="s">
        <v>139</v>
      </c>
      <c r="Q3" s="632" t="s">
        <v>143</v>
      </c>
      <c r="R3" s="635" t="s">
        <v>148</v>
      </c>
      <c r="S3" s="671" t="s">
        <v>9</v>
      </c>
      <c r="T3" s="671"/>
      <c r="U3" s="673" t="s">
        <v>151</v>
      </c>
      <c r="V3" s="642" t="s">
        <v>165</v>
      </c>
      <c r="W3" s="643"/>
      <c r="X3" s="643"/>
      <c r="Y3" s="643"/>
      <c r="Z3" s="644"/>
    </row>
    <row r="4" spans="1:26" ht="42" customHeight="1" thickBot="1" x14ac:dyDescent="0.35">
      <c r="A4" s="655"/>
      <c r="B4" s="658"/>
      <c r="C4" s="661"/>
      <c r="D4" s="664"/>
      <c r="E4" s="664"/>
      <c r="F4" s="664"/>
      <c r="G4" s="664"/>
      <c r="H4" s="664"/>
      <c r="I4" s="664"/>
      <c r="J4" s="667"/>
      <c r="K4" s="670"/>
      <c r="L4" s="670"/>
      <c r="M4" s="624"/>
      <c r="N4" s="624"/>
      <c r="O4" s="627"/>
      <c r="P4" s="630"/>
      <c r="Q4" s="633"/>
      <c r="R4" s="636"/>
      <c r="S4" s="672"/>
      <c r="T4" s="672"/>
      <c r="U4" s="674"/>
      <c r="V4" s="645" t="s">
        <v>172</v>
      </c>
      <c r="W4" s="646"/>
      <c r="X4" s="646"/>
      <c r="Y4" s="646"/>
      <c r="Z4" s="647"/>
    </row>
    <row r="5" spans="1:26" ht="30" customHeight="1" x14ac:dyDescent="0.5">
      <c r="A5" s="655"/>
      <c r="B5" s="658"/>
      <c r="C5" s="661"/>
      <c r="D5" s="664"/>
      <c r="E5" s="664"/>
      <c r="F5" s="638" t="s">
        <v>4</v>
      </c>
      <c r="G5" s="638" t="s">
        <v>5</v>
      </c>
      <c r="H5" s="638" t="s">
        <v>4</v>
      </c>
      <c r="I5" s="638" t="s">
        <v>5</v>
      </c>
      <c r="J5" s="667"/>
      <c r="K5" s="640" t="s">
        <v>7</v>
      </c>
      <c r="L5" s="353" t="s">
        <v>14</v>
      </c>
      <c r="M5" s="624"/>
      <c r="N5" s="624"/>
      <c r="O5" s="627"/>
      <c r="P5" s="630"/>
      <c r="Q5" s="633"/>
      <c r="R5" s="636"/>
      <c r="S5" s="621" t="s">
        <v>10</v>
      </c>
      <c r="T5" s="595" t="s">
        <v>11</v>
      </c>
      <c r="U5" s="674"/>
      <c r="V5" s="597" t="s">
        <v>167</v>
      </c>
      <c r="W5" s="599" t="s">
        <v>168</v>
      </c>
      <c r="X5" s="599" t="s">
        <v>169</v>
      </c>
      <c r="Y5" s="601" t="s">
        <v>170</v>
      </c>
      <c r="Z5" s="648" t="s">
        <v>20</v>
      </c>
    </row>
    <row r="6" spans="1:26" ht="30" customHeight="1" x14ac:dyDescent="0.5">
      <c r="A6" s="655"/>
      <c r="B6" s="658"/>
      <c r="C6" s="661"/>
      <c r="D6" s="664"/>
      <c r="E6" s="664"/>
      <c r="F6" s="638"/>
      <c r="G6" s="638"/>
      <c r="H6" s="638"/>
      <c r="I6" s="638"/>
      <c r="J6" s="667"/>
      <c r="K6" s="640"/>
      <c r="L6" s="354" t="s">
        <v>15</v>
      </c>
      <c r="M6" s="624"/>
      <c r="N6" s="624"/>
      <c r="O6" s="627"/>
      <c r="P6" s="630"/>
      <c r="Q6" s="633"/>
      <c r="R6" s="636"/>
      <c r="S6" s="621"/>
      <c r="T6" s="595"/>
      <c r="U6" s="674"/>
      <c r="V6" s="598"/>
      <c r="W6" s="600"/>
      <c r="X6" s="600"/>
      <c r="Y6" s="602"/>
      <c r="Z6" s="649"/>
    </row>
    <row r="7" spans="1:26" ht="30" customHeight="1" x14ac:dyDescent="0.5">
      <c r="A7" s="655"/>
      <c r="B7" s="658"/>
      <c r="C7" s="661"/>
      <c r="D7" s="664"/>
      <c r="E7" s="664"/>
      <c r="F7" s="638"/>
      <c r="G7" s="638"/>
      <c r="H7" s="638"/>
      <c r="I7" s="638"/>
      <c r="J7" s="667"/>
      <c r="K7" s="640"/>
      <c r="L7" s="355" t="s">
        <v>16</v>
      </c>
      <c r="M7" s="624"/>
      <c r="N7" s="624"/>
      <c r="O7" s="627"/>
      <c r="P7" s="630"/>
      <c r="Q7" s="633"/>
      <c r="R7" s="636"/>
      <c r="S7" s="621"/>
      <c r="T7" s="595"/>
      <c r="U7" s="674"/>
      <c r="V7" s="603" t="s">
        <v>166</v>
      </c>
      <c r="W7" s="605" t="s">
        <v>13</v>
      </c>
      <c r="X7" s="605" t="s">
        <v>13</v>
      </c>
      <c r="Y7" s="607" t="s">
        <v>13</v>
      </c>
      <c r="Z7" s="649"/>
    </row>
    <row r="8" spans="1:26" ht="30" customHeight="1" thickBot="1" x14ac:dyDescent="0.55000000000000004">
      <c r="A8" s="656"/>
      <c r="B8" s="659"/>
      <c r="C8" s="662"/>
      <c r="D8" s="665"/>
      <c r="E8" s="665"/>
      <c r="F8" s="639"/>
      <c r="G8" s="639"/>
      <c r="H8" s="639"/>
      <c r="I8" s="639"/>
      <c r="J8" s="668"/>
      <c r="K8" s="641"/>
      <c r="L8" s="356"/>
      <c r="M8" s="625"/>
      <c r="N8" s="625"/>
      <c r="O8" s="628"/>
      <c r="P8" s="631"/>
      <c r="Q8" s="634"/>
      <c r="R8" s="637"/>
      <c r="S8" s="622"/>
      <c r="T8" s="596"/>
      <c r="U8" s="675"/>
      <c r="V8" s="604"/>
      <c r="W8" s="606"/>
      <c r="X8" s="606"/>
      <c r="Y8" s="608"/>
      <c r="Z8" s="650"/>
    </row>
    <row r="9" spans="1:26" ht="48.65" hidden="1" customHeight="1" x14ac:dyDescent="0.4">
      <c r="A9" s="357">
        <v>1</v>
      </c>
      <c r="B9" s="358" t="s">
        <v>35</v>
      </c>
      <c r="C9" s="359" t="s">
        <v>43</v>
      </c>
      <c r="D9" s="359" t="s">
        <v>47</v>
      </c>
      <c r="E9" s="359" t="s">
        <v>63</v>
      </c>
      <c r="F9" s="360"/>
      <c r="G9" s="361"/>
      <c r="H9" s="361"/>
      <c r="I9" s="361"/>
      <c r="J9" s="358">
        <v>7</v>
      </c>
      <c r="K9" s="359" t="s">
        <v>82</v>
      </c>
      <c r="L9" s="362" t="s">
        <v>85</v>
      </c>
      <c r="M9" s="358">
        <f>3376+1819</f>
        <v>5195</v>
      </c>
      <c r="N9" s="358">
        <f>22.73+23.09</f>
        <v>45.82</v>
      </c>
      <c r="O9" s="363">
        <f>(J9*2)+$O$2</f>
        <v>15.57</v>
      </c>
      <c r="P9" s="364">
        <f>(M9/N9)*O9</f>
        <v>1765.3022697512006</v>
      </c>
      <c r="Q9" s="365"/>
      <c r="R9" s="366"/>
      <c r="S9" s="367">
        <v>5000</v>
      </c>
      <c r="T9" s="359"/>
      <c r="U9" s="450"/>
      <c r="V9" s="357"/>
      <c r="W9" s="358"/>
      <c r="X9" s="368" t="e">
        <f>5000*#REF!</f>
        <v>#REF!</v>
      </c>
      <c r="Y9" s="369" t="e">
        <f>5000*#REF!</f>
        <v>#REF!</v>
      </c>
      <c r="Z9" s="465"/>
    </row>
    <row r="10" spans="1:26" ht="48.65" hidden="1" customHeight="1" x14ac:dyDescent="0.4">
      <c r="A10" s="370">
        <v>2</v>
      </c>
      <c r="B10" s="371" t="s">
        <v>36</v>
      </c>
      <c r="C10" s="372" t="s">
        <v>43</v>
      </c>
      <c r="D10" s="372" t="s">
        <v>48</v>
      </c>
      <c r="E10" s="372" t="s">
        <v>64</v>
      </c>
      <c r="F10" s="373"/>
      <c r="G10" s="373"/>
      <c r="H10" s="373"/>
      <c r="I10" s="373"/>
      <c r="J10" s="374">
        <v>6.5</v>
      </c>
      <c r="K10" s="372" t="s">
        <v>82</v>
      </c>
      <c r="L10" s="375" t="s">
        <v>85</v>
      </c>
      <c r="M10" s="374">
        <f>3376+1819+952</f>
        <v>6147</v>
      </c>
      <c r="N10" s="374">
        <f>22.73+23.09+11.4</f>
        <v>57.22</v>
      </c>
      <c r="O10" s="376">
        <f t="shared" ref="O10:O25" si="0">(J10*2)+$O$2</f>
        <v>14.57</v>
      </c>
      <c r="P10" s="377">
        <f t="shared" ref="P10:P25" si="1">(M10/N10)*O10</f>
        <v>1565.218280321566</v>
      </c>
      <c r="Q10" s="378"/>
      <c r="R10" s="379"/>
      <c r="S10" s="380">
        <v>5000</v>
      </c>
      <c r="T10" s="372"/>
      <c r="U10" s="451"/>
      <c r="V10" s="382"/>
      <c r="W10" s="374"/>
      <c r="X10" s="381" t="e">
        <f>5000*#REF!</f>
        <v>#REF!</v>
      </c>
      <c r="Y10" s="369" t="e">
        <f>5000*#REF!</f>
        <v>#REF!</v>
      </c>
      <c r="Z10" s="465"/>
    </row>
    <row r="11" spans="1:26" ht="48.65" hidden="1" customHeight="1" x14ac:dyDescent="0.4">
      <c r="A11" s="382">
        <v>3</v>
      </c>
      <c r="B11" s="371" t="s">
        <v>37</v>
      </c>
      <c r="C11" s="372" t="s">
        <v>44</v>
      </c>
      <c r="D11" s="372" t="s">
        <v>49</v>
      </c>
      <c r="E11" s="372" t="s">
        <v>65</v>
      </c>
      <c r="F11" s="373"/>
      <c r="G11" s="373"/>
      <c r="H11" s="373"/>
      <c r="I11" s="373"/>
      <c r="J11" s="374">
        <v>10.5</v>
      </c>
      <c r="K11" s="372" t="s">
        <v>82</v>
      </c>
      <c r="L11" s="375" t="s">
        <v>85</v>
      </c>
      <c r="M11" s="374">
        <v>1077</v>
      </c>
      <c r="N11" s="374">
        <v>42.11</v>
      </c>
      <c r="O11" s="376">
        <f t="shared" si="0"/>
        <v>22.57</v>
      </c>
      <c r="P11" s="377">
        <f t="shared" si="1"/>
        <v>577.24744716219425</v>
      </c>
      <c r="Q11" s="378"/>
      <c r="R11" s="379"/>
      <c r="S11" s="380">
        <v>5000</v>
      </c>
      <c r="T11" s="372"/>
      <c r="U11" s="451"/>
      <c r="V11" s="382"/>
      <c r="W11" s="374"/>
      <c r="X11" s="381" t="e">
        <f>5000*#REF!</f>
        <v>#REF!</v>
      </c>
      <c r="Y11" s="369" t="e">
        <f>5000*#REF!</f>
        <v>#REF!</v>
      </c>
      <c r="Z11" s="465"/>
    </row>
    <row r="12" spans="1:26" ht="48.65" hidden="1" customHeight="1" x14ac:dyDescent="0.4">
      <c r="A12" s="357">
        <v>4</v>
      </c>
      <c r="B12" s="374" t="s">
        <v>38</v>
      </c>
      <c r="C12" s="372" t="s">
        <v>45</v>
      </c>
      <c r="D12" s="372" t="s">
        <v>50</v>
      </c>
      <c r="E12" s="372" t="s">
        <v>66</v>
      </c>
      <c r="F12" s="373"/>
      <c r="G12" s="373"/>
      <c r="H12" s="373"/>
      <c r="I12" s="373"/>
      <c r="J12" s="374">
        <v>2.5</v>
      </c>
      <c r="K12" s="372" t="s">
        <v>137</v>
      </c>
      <c r="L12" s="383" t="s">
        <v>8</v>
      </c>
      <c r="M12" s="374">
        <f>15935+3078</f>
        <v>19013</v>
      </c>
      <c r="N12" s="374">
        <f>104.77+37.12</f>
        <v>141.88999999999999</v>
      </c>
      <c r="O12" s="376">
        <f t="shared" si="0"/>
        <v>6.57</v>
      </c>
      <c r="P12" s="377">
        <f t="shared" si="1"/>
        <v>880.36796109662419</v>
      </c>
      <c r="Q12" s="378"/>
      <c r="R12" s="379"/>
      <c r="S12" s="380">
        <v>5000</v>
      </c>
      <c r="T12" s="372"/>
      <c r="U12" s="451"/>
      <c r="V12" s="382"/>
      <c r="W12" s="374"/>
      <c r="X12" s="381" t="e">
        <f>5000*#REF!</f>
        <v>#REF!</v>
      </c>
      <c r="Y12" s="369" t="e">
        <f>5000*#REF!</f>
        <v>#REF!</v>
      </c>
      <c r="Z12" s="465"/>
    </row>
    <row r="13" spans="1:26" ht="48.65" hidden="1" customHeight="1" x14ac:dyDescent="0.4">
      <c r="A13" s="370">
        <v>5</v>
      </c>
      <c r="B13" s="374" t="s">
        <v>38</v>
      </c>
      <c r="C13" s="372" t="s">
        <v>45</v>
      </c>
      <c r="D13" s="372" t="s">
        <v>51</v>
      </c>
      <c r="E13" s="372" t="s">
        <v>67</v>
      </c>
      <c r="F13" s="373"/>
      <c r="G13" s="373"/>
      <c r="H13" s="373"/>
      <c r="I13" s="373"/>
      <c r="J13" s="374">
        <v>1</v>
      </c>
      <c r="K13" s="372" t="s">
        <v>83</v>
      </c>
      <c r="L13" s="383" t="s">
        <v>8</v>
      </c>
      <c r="M13" s="374">
        <f>15935+3078</f>
        <v>19013</v>
      </c>
      <c r="N13" s="374">
        <f>104.77+37.12</f>
        <v>141.88999999999999</v>
      </c>
      <c r="O13" s="376">
        <f t="shared" si="0"/>
        <v>3.5700000000000003</v>
      </c>
      <c r="P13" s="377">
        <f t="shared" si="1"/>
        <v>478.37345831277759</v>
      </c>
      <c r="Q13" s="378"/>
      <c r="R13" s="379"/>
      <c r="S13" s="380">
        <v>5000</v>
      </c>
      <c r="T13" s="372"/>
      <c r="U13" s="451"/>
      <c r="V13" s="382"/>
      <c r="W13" s="374"/>
      <c r="X13" s="381" t="e">
        <f>5000*#REF!</f>
        <v>#REF!</v>
      </c>
      <c r="Y13" s="369" t="e">
        <f>5000*#REF!</f>
        <v>#REF!</v>
      </c>
      <c r="Z13" s="465"/>
    </row>
    <row r="14" spans="1:26" ht="48.65" hidden="1" customHeight="1" x14ac:dyDescent="0.4">
      <c r="A14" s="382">
        <v>6</v>
      </c>
      <c r="B14" s="374" t="s">
        <v>39</v>
      </c>
      <c r="C14" s="372" t="s">
        <v>45</v>
      </c>
      <c r="D14" s="372" t="s">
        <v>52</v>
      </c>
      <c r="E14" s="372" t="s">
        <v>68</v>
      </c>
      <c r="F14" s="373"/>
      <c r="G14" s="373"/>
      <c r="H14" s="373"/>
      <c r="I14" s="373"/>
      <c r="J14" s="374">
        <v>7</v>
      </c>
      <c r="K14" s="372" t="s">
        <v>83</v>
      </c>
      <c r="L14" s="383" t="s">
        <v>8</v>
      </c>
      <c r="M14" s="374">
        <f>15935+2785</f>
        <v>18720</v>
      </c>
      <c r="N14" s="374">
        <f>104.77+76.28</f>
        <v>181.05</v>
      </c>
      <c r="O14" s="376">
        <f t="shared" si="0"/>
        <v>15.57</v>
      </c>
      <c r="P14" s="377">
        <f t="shared" si="1"/>
        <v>1609.8889809444904</v>
      </c>
      <c r="Q14" s="378"/>
      <c r="R14" s="379"/>
      <c r="S14" s="380">
        <v>5000</v>
      </c>
      <c r="T14" s="372"/>
      <c r="U14" s="451"/>
      <c r="V14" s="382"/>
      <c r="W14" s="374"/>
      <c r="X14" s="384"/>
      <c r="Y14" s="385" t="e">
        <f>5000*#REF!</f>
        <v>#REF!</v>
      </c>
      <c r="Z14" s="465"/>
    </row>
    <row r="15" spans="1:26" ht="48.65" hidden="1" customHeight="1" x14ac:dyDescent="0.4">
      <c r="A15" s="357">
        <v>7</v>
      </c>
      <c r="B15" s="374" t="s">
        <v>40</v>
      </c>
      <c r="C15" s="372" t="s">
        <v>45</v>
      </c>
      <c r="D15" s="372" t="s">
        <v>53</v>
      </c>
      <c r="E15" s="372" t="s">
        <v>69</v>
      </c>
      <c r="F15" s="386"/>
      <c r="G15" s="386"/>
      <c r="H15" s="386"/>
      <c r="I15" s="386"/>
      <c r="J15" s="374">
        <v>2.65</v>
      </c>
      <c r="K15" s="372" t="s">
        <v>82</v>
      </c>
      <c r="L15" s="375" t="s">
        <v>85</v>
      </c>
      <c r="M15" s="374">
        <f>1222+4111</f>
        <v>5333</v>
      </c>
      <c r="N15" s="374">
        <f>21.93+43.4</f>
        <v>65.33</v>
      </c>
      <c r="O15" s="376">
        <f t="shared" si="0"/>
        <v>6.87</v>
      </c>
      <c r="P15" s="377">
        <f t="shared" si="1"/>
        <v>560.80988825960503</v>
      </c>
      <c r="Q15" s="378"/>
      <c r="R15" s="379"/>
      <c r="S15" s="380">
        <v>5000</v>
      </c>
      <c r="T15" s="372"/>
      <c r="U15" s="451"/>
      <c r="V15" s="382"/>
      <c r="W15" s="374"/>
      <c r="X15" s="381" t="e">
        <f>5000*#REF!</f>
        <v>#REF!</v>
      </c>
      <c r="Y15" s="385" t="e">
        <f>5000*#REF!</f>
        <v>#REF!</v>
      </c>
      <c r="Z15" s="465"/>
    </row>
    <row r="16" spans="1:26" ht="48.65" hidden="1" customHeight="1" x14ac:dyDescent="0.4">
      <c r="A16" s="370">
        <v>8</v>
      </c>
      <c r="B16" s="374" t="s">
        <v>41</v>
      </c>
      <c r="C16" s="372" t="s">
        <v>46</v>
      </c>
      <c r="D16" s="372" t="s">
        <v>54</v>
      </c>
      <c r="E16" s="372" t="s">
        <v>70</v>
      </c>
      <c r="F16" s="373"/>
      <c r="G16" s="373"/>
      <c r="H16" s="373"/>
      <c r="I16" s="373"/>
      <c r="J16" s="374">
        <v>2.7</v>
      </c>
      <c r="K16" s="372" t="s">
        <v>82</v>
      </c>
      <c r="L16" s="383" t="s">
        <v>8</v>
      </c>
      <c r="M16" s="374">
        <v>2049</v>
      </c>
      <c r="N16" s="374">
        <v>71.5</v>
      </c>
      <c r="O16" s="376">
        <f t="shared" si="0"/>
        <v>6.9700000000000006</v>
      </c>
      <c r="P16" s="377">
        <f t="shared" si="1"/>
        <v>199.74167832167834</v>
      </c>
      <c r="Q16" s="378"/>
      <c r="R16" s="379"/>
      <c r="S16" s="380">
        <v>5000</v>
      </c>
      <c r="T16" s="387"/>
      <c r="U16" s="451"/>
      <c r="V16" s="382"/>
      <c r="W16" s="374"/>
      <c r="X16" s="384"/>
      <c r="Y16" s="385" t="e">
        <f>5000*#REF!</f>
        <v>#REF!</v>
      </c>
      <c r="Z16" s="465"/>
    </row>
    <row r="17" spans="1:26" ht="48.65" hidden="1" customHeight="1" x14ac:dyDescent="0.4">
      <c r="A17" s="382">
        <v>9</v>
      </c>
      <c r="B17" s="374" t="s">
        <v>41</v>
      </c>
      <c r="C17" s="372" t="s">
        <v>46</v>
      </c>
      <c r="D17" s="372" t="s">
        <v>55</v>
      </c>
      <c r="E17" s="372" t="s">
        <v>71</v>
      </c>
      <c r="F17" s="372"/>
      <c r="G17" s="372"/>
      <c r="H17" s="372"/>
      <c r="I17" s="372"/>
      <c r="J17" s="374">
        <v>2.7</v>
      </c>
      <c r="K17" s="372" t="s">
        <v>82</v>
      </c>
      <c r="L17" s="383" t="s">
        <v>8</v>
      </c>
      <c r="M17" s="374">
        <f>2049+2363</f>
        <v>4412</v>
      </c>
      <c r="N17" s="374">
        <f>71.5+56.75</f>
        <v>128.25</v>
      </c>
      <c r="O17" s="376">
        <f t="shared" si="0"/>
        <v>6.9700000000000006</v>
      </c>
      <c r="P17" s="377">
        <f t="shared" si="1"/>
        <v>239.7788693957115</v>
      </c>
      <c r="Q17" s="378"/>
      <c r="R17" s="379"/>
      <c r="S17" s="380">
        <v>5000</v>
      </c>
      <c r="T17" s="387"/>
      <c r="U17" s="451"/>
      <c r="V17" s="382"/>
      <c r="W17" s="374"/>
      <c r="X17" s="384"/>
      <c r="Y17" s="385" t="e">
        <f>5000*#REF!</f>
        <v>#REF!</v>
      </c>
      <c r="Z17" s="465"/>
    </row>
    <row r="18" spans="1:26" ht="48.65" hidden="1" customHeight="1" x14ac:dyDescent="0.4">
      <c r="A18" s="357">
        <v>10</v>
      </c>
      <c r="B18" s="371" t="s">
        <v>41</v>
      </c>
      <c r="C18" s="372" t="s">
        <v>46</v>
      </c>
      <c r="D18" s="372" t="s">
        <v>55</v>
      </c>
      <c r="E18" s="388" t="s">
        <v>72</v>
      </c>
      <c r="F18" s="373"/>
      <c r="G18" s="373"/>
      <c r="H18" s="373"/>
      <c r="I18" s="373"/>
      <c r="J18" s="374">
        <v>2.2999999999999998</v>
      </c>
      <c r="K18" s="372" t="s">
        <v>82</v>
      </c>
      <c r="L18" s="383" t="s">
        <v>8</v>
      </c>
      <c r="M18" s="374">
        <f>2049+2363</f>
        <v>4412</v>
      </c>
      <c r="N18" s="374">
        <f>71.5+56.75</f>
        <v>128.25</v>
      </c>
      <c r="O18" s="376">
        <f t="shared" si="0"/>
        <v>6.17</v>
      </c>
      <c r="P18" s="377">
        <f t="shared" si="1"/>
        <v>212.25762183235867</v>
      </c>
      <c r="Q18" s="378"/>
      <c r="R18" s="379"/>
      <c r="S18" s="380">
        <v>5000</v>
      </c>
      <c r="T18" s="372"/>
      <c r="U18" s="451"/>
      <c r="V18" s="382"/>
      <c r="W18" s="374"/>
      <c r="X18" s="384"/>
      <c r="Y18" s="385" t="e">
        <f>5000*#REF!</f>
        <v>#REF!</v>
      </c>
      <c r="Z18" s="465"/>
    </row>
    <row r="19" spans="1:26" ht="48.65" hidden="1" customHeight="1" x14ac:dyDescent="0.4">
      <c r="A19" s="370">
        <v>11</v>
      </c>
      <c r="B19" s="374" t="s">
        <v>41</v>
      </c>
      <c r="C19" s="372" t="s">
        <v>46</v>
      </c>
      <c r="D19" s="372" t="s">
        <v>56</v>
      </c>
      <c r="E19" s="389" t="s">
        <v>73</v>
      </c>
      <c r="F19" s="372"/>
      <c r="G19" s="372"/>
      <c r="H19" s="372"/>
      <c r="I19" s="372"/>
      <c r="J19" s="374">
        <v>2</v>
      </c>
      <c r="K19" s="372" t="s">
        <v>82</v>
      </c>
      <c r="L19" s="383" t="s">
        <v>8</v>
      </c>
      <c r="M19" s="374">
        <v>2049</v>
      </c>
      <c r="N19" s="374">
        <v>71.5</v>
      </c>
      <c r="O19" s="376">
        <f t="shared" si="0"/>
        <v>5.57</v>
      </c>
      <c r="P19" s="377">
        <f t="shared" si="1"/>
        <v>159.6213986013986</v>
      </c>
      <c r="Q19" s="378"/>
      <c r="R19" s="379"/>
      <c r="S19" s="380">
        <v>5000</v>
      </c>
      <c r="T19" s="372"/>
      <c r="U19" s="451"/>
      <c r="V19" s="382"/>
      <c r="W19" s="374"/>
      <c r="X19" s="384"/>
      <c r="Y19" s="385" t="e">
        <f>5000*#REF!</f>
        <v>#REF!</v>
      </c>
      <c r="Z19" s="465"/>
    </row>
    <row r="20" spans="1:26" ht="48.65" hidden="1" customHeight="1" x14ac:dyDescent="0.4">
      <c r="A20" s="382">
        <v>12</v>
      </c>
      <c r="B20" s="371" t="s">
        <v>42</v>
      </c>
      <c r="C20" s="372" t="s">
        <v>45</v>
      </c>
      <c r="D20" s="372" t="s">
        <v>58</v>
      </c>
      <c r="E20" s="390" t="s">
        <v>76</v>
      </c>
      <c r="F20" s="386">
        <v>126.94337899999999</v>
      </c>
      <c r="G20" s="386">
        <v>-8.5426549999999999</v>
      </c>
      <c r="H20" s="386">
        <v>126.93016</v>
      </c>
      <c r="I20" s="386">
        <v>-8.5536960000000004</v>
      </c>
      <c r="J20" s="374">
        <v>2.7</v>
      </c>
      <c r="K20" s="372" t="s">
        <v>82</v>
      </c>
      <c r="L20" s="391" t="s">
        <v>25</v>
      </c>
      <c r="M20" s="392">
        <v>4111</v>
      </c>
      <c r="N20" s="374">
        <v>43.4</v>
      </c>
      <c r="O20" s="376">
        <f t="shared" si="0"/>
        <v>6.9700000000000006</v>
      </c>
      <c r="P20" s="377">
        <f t="shared" si="1"/>
        <v>660.22281105990794</v>
      </c>
      <c r="Q20" s="378"/>
      <c r="R20" s="379"/>
      <c r="S20" s="380">
        <v>5000</v>
      </c>
      <c r="T20" s="372"/>
      <c r="U20" s="452"/>
      <c r="V20" s="453"/>
      <c r="W20" s="393"/>
      <c r="X20" s="381" t="e">
        <f>5000*#REF!</f>
        <v>#REF!</v>
      </c>
      <c r="Y20" s="385" t="e">
        <f>5000*#REF!</f>
        <v>#REF!</v>
      </c>
      <c r="Z20" s="465"/>
    </row>
    <row r="21" spans="1:26" ht="48.65" hidden="1" customHeight="1" x14ac:dyDescent="0.4">
      <c r="A21" s="357">
        <v>13</v>
      </c>
      <c r="B21" s="371" t="s">
        <v>42</v>
      </c>
      <c r="C21" s="372" t="s">
        <v>46</v>
      </c>
      <c r="D21" s="372" t="s">
        <v>59</v>
      </c>
      <c r="E21" s="390" t="s">
        <v>77</v>
      </c>
      <c r="F21" s="373"/>
      <c r="G21" s="373"/>
      <c r="H21" s="373"/>
      <c r="I21" s="373"/>
      <c r="J21" s="374">
        <v>1.7</v>
      </c>
      <c r="K21" s="372" t="s">
        <v>82</v>
      </c>
      <c r="L21" s="391" t="s">
        <v>25</v>
      </c>
      <c r="M21" s="392">
        <f>2049+2363</f>
        <v>4412</v>
      </c>
      <c r="N21" s="374">
        <f>71.5+56.75</f>
        <v>128.25</v>
      </c>
      <c r="O21" s="376">
        <f t="shared" si="0"/>
        <v>4.97</v>
      </c>
      <c r="P21" s="377">
        <f t="shared" si="1"/>
        <v>170.97575048732941</v>
      </c>
      <c r="Q21" s="378"/>
      <c r="R21" s="379"/>
      <c r="S21" s="380">
        <v>5000</v>
      </c>
      <c r="T21" s="372"/>
      <c r="U21" s="452"/>
      <c r="V21" s="453"/>
      <c r="W21" s="393"/>
      <c r="X21" s="381" t="e">
        <f>5000*#REF!</f>
        <v>#REF!</v>
      </c>
      <c r="Y21" s="385" t="e">
        <f>5000*#REF!</f>
        <v>#REF!</v>
      </c>
      <c r="Z21" s="465"/>
    </row>
    <row r="22" spans="1:26" ht="48.65" hidden="1" customHeight="1" x14ac:dyDescent="0.4">
      <c r="A22" s="370">
        <v>14</v>
      </c>
      <c r="B22" s="371" t="s">
        <v>42</v>
      </c>
      <c r="C22" s="372" t="s">
        <v>46</v>
      </c>
      <c r="D22" s="372" t="s">
        <v>60</v>
      </c>
      <c r="E22" s="390" t="s">
        <v>78</v>
      </c>
      <c r="F22" s="373"/>
      <c r="G22" s="373"/>
      <c r="H22" s="373"/>
      <c r="I22" s="373"/>
      <c r="J22" s="374">
        <v>2</v>
      </c>
      <c r="K22" s="372" t="s">
        <v>82</v>
      </c>
      <c r="L22" s="391" t="s">
        <v>25</v>
      </c>
      <c r="M22" s="392">
        <f>2049+2363</f>
        <v>4412</v>
      </c>
      <c r="N22" s="374">
        <f>71.5+56.75</f>
        <v>128.25</v>
      </c>
      <c r="O22" s="376">
        <f t="shared" si="0"/>
        <v>5.57</v>
      </c>
      <c r="P22" s="377">
        <f t="shared" si="1"/>
        <v>191.61668615984405</v>
      </c>
      <c r="Q22" s="378"/>
      <c r="R22" s="379"/>
      <c r="S22" s="380">
        <v>5000</v>
      </c>
      <c r="T22" s="372"/>
      <c r="U22" s="452"/>
      <c r="V22" s="453"/>
      <c r="W22" s="393"/>
      <c r="X22" s="381" t="e">
        <f>5000*#REF!</f>
        <v>#REF!</v>
      </c>
      <c r="Y22" s="385" t="e">
        <f>5000*#REF!</f>
        <v>#REF!</v>
      </c>
      <c r="Z22" s="465"/>
    </row>
    <row r="23" spans="1:26" ht="48.65" hidden="1" customHeight="1" x14ac:dyDescent="0.4">
      <c r="A23" s="382">
        <v>15</v>
      </c>
      <c r="B23" s="371" t="s">
        <v>42</v>
      </c>
      <c r="C23" s="372" t="s">
        <v>46</v>
      </c>
      <c r="D23" s="372" t="s">
        <v>61</v>
      </c>
      <c r="E23" s="390" t="s">
        <v>79</v>
      </c>
      <c r="F23" s="372"/>
      <c r="G23" s="372"/>
      <c r="H23" s="372"/>
      <c r="I23" s="372"/>
      <c r="J23" s="374">
        <v>2</v>
      </c>
      <c r="K23" s="372" t="s">
        <v>82</v>
      </c>
      <c r="L23" s="391" t="s">
        <v>25</v>
      </c>
      <c r="M23" s="392">
        <v>2049</v>
      </c>
      <c r="N23" s="374">
        <v>71.5</v>
      </c>
      <c r="O23" s="376">
        <f t="shared" si="0"/>
        <v>5.57</v>
      </c>
      <c r="P23" s="377">
        <f t="shared" si="1"/>
        <v>159.6213986013986</v>
      </c>
      <c r="Q23" s="378"/>
      <c r="R23" s="379"/>
      <c r="S23" s="380">
        <v>5000</v>
      </c>
      <c r="T23" s="372"/>
      <c r="U23" s="452"/>
      <c r="V23" s="453"/>
      <c r="W23" s="393"/>
      <c r="X23" s="381" t="e">
        <f>5000*#REF!</f>
        <v>#REF!</v>
      </c>
      <c r="Y23" s="385" t="e">
        <f>5000*#REF!</f>
        <v>#REF!</v>
      </c>
      <c r="Z23" s="465"/>
    </row>
    <row r="24" spans="1:26" ht="48.65" hidden="1" customHeight="1" x14ac:dyDescent="0.4">
      <c r="A24" s="357">
        <v>16</v>
      </c>
      <c r="B24" s="371" t="s">
        <v>42</v>
      </c>
      <c r="C24" s="372" t="s">
        <v>46</v>
      </c>
      <c r="D24" s="372" t="s">
        <v>62</v>
      </c>
      <c r="E24" s="390" t="s">
        <v>80</v>
      </c>
      <c r="F24" s="373"/>
      <c r="G24" s="373"/>
      <c r="H24" s="373"/>
      <c r="I24" s="373"/>
      <c r="J24" s="374">
        <v>2</v>
      </c>
      <c r="K24" s="372" t="s">
        <v>82</v>
      </c>
      <c r="L24" s="391" t="s">
        <v>25</v>
      </c>
      <c r="M24" s="392">
        <v>2049</v>
      </c>
      <c r="N24" s="374">
        <v>71.5</v>
      </c>
      <c r="O24" s="376">
        <f t="shared" si="0"/>
        <v>5.57</v>
      </c>
      <c r="P24" s="377">
        <f t="shared" si="1"/>
        <v>159.6213986013986</v>
      </c>
      <c r="Q24" s="378"/>
      <c r="R24" s="379"/>
      <c r="S24" s="380">
        <v>5000</v>
      </c>
      <c r="T24" s="372"/>
      <c r="U24" s="452"/>
      <c r="V24" s="453"/>
      <c r="W24" s="393"/>
      <c r="X24" s="381" t="e">
        <f>5000*#REF!</f>
        <v>#REF!</v>
      </c>
      <c r="Y24" s="385" t="e">
        <f>5000*#REF!</f>
        <v>#REF!</v>
      </c>
      <c r="Z24" s="465"/>
    </row>
    <row r="25" spans="1:26" ht="48.65" hidden="1" customHeight="1" x14ac:dyDescent="0.4">
      <c r="A25" s="370">
        <v>17</v>
      </c>
      <c r="B25" s="371" t="s">
        <v>42</v>
      </c>
      <c r="C25" s="372" t="s">
        <v>46</v>
      </c>
      <c r="D25" s="372" t="s">
        <v>62</v>
      </c>
      <c r="E25" s="390" t="s">
        <v>81</v>
      </c>
      <c r="F25" s="372"/>
      <c r="G25" s="372"/>
      <c r="H25" s="372"/>
      <c r="I25" s="372"/>
      <c r="J25" s="374">
        <v>2.7</v>
      </c>
      <c r="K25" s="372" t="s">
        <v>82</v>
      </c>
      <c r="L25" s="391" t="s">
        <v>25</v>
      </c>
      <c r="M25" s="392">
        <v>2049</v>
      </c>
      <c r="N25" s="374">
        <v>71.5</v>
      </c>
      <c r="O25" s="376">
        <f t="shared" si="0"/>
        <v>6.9700000000000006</v>
      </c>
      <c r="P25" s="377">
        <f t="shared" si="1"/>
        <v>199.74167832167834</v>
      </c>
      <c r="Q25" s="378"/>
      <c r="R25" s="379"/>
      <c r="S25" s="380">
        <v>5000</v>
      </c>
      <c r="T25" s="372"/>
      <c r="U25" s="452"/>
      <c r="V25" s="453"/>
      <c r="W25" s="393"/>
      <c r="X25" s="381" t="e">
        <f>5000*#REF!</f>
        <v>#REF!</v>
      </c>
      <c r="Y25" s="385" t="e">
        <f>5000*#REF!</f>
        <v>#REF!</v>
      </c>
      <c r="Z25" s="465"/>
    </row>
    <row r="26" spans="1:26" ht="18" customHeight="1" x14ac:dyDescent="0.4">
      <c r="A26" s="394"/>
      <c r="B26" s="395"/>
      <c r="C26" s="396"/>
      <c r="D26" s="396"/>
      <c r="E26" s="396"/>
      <c r="F26" s="396"/>
      <c r="G26" s="396"/>
      <c r="H26" s="396"/>
      <c r="I26" s="396"/>
      <c r="J26" s="397"/>
      <c r="K26" s="396"/>
      <c r="L26" s="398"/>
      <c r="M26" s="399"/>
      <c r="N26" s="399"/>
      <c r="O26" s="399"/>
      <c r="P26" s="400"/>
      <c r="Q26" s="401"/>
      <c r="R26" s="402"/>
      <c r="S26" s="403"/>
      <c r="T26" s="396"/>
      <c r="U26" s="454"/>
      <c r="V26" s="455"/>
      <c r="W26" s="397"/>
      <c r="X26" s="397"/>
      <c r="Y26" s="404"/>
      <c r="Z26" s="466"/>
    </row>
    <row r="27" spans="1:26" ht="46.25" customHeight="1" x14ac:dyDescent="0.3">
      <c r="A27" s="382">
        <v>1</v>
      </c>
      <c r="B27" s="371" t="s">
        <v>184</v>
      </c>
      <c r="C27" s="372" t="s">
        <v>173</v>
      </c>
      <c r="D27" s="372" t="s">
        <v>176</v>
      </c>
      <c r="E27" s="390" t="s">
        <v>177</v>
      </c>
      <c r="F27" s="405" t="s">
        <v>187</v>
      </c>
      <c r="G27" s="405" t="s">
        <v>188</v>
      </c>
      <c r="H27" s="405" t="s">
        <v>192</v>
      </c>
      <c r="I27" s="405" t="s">
        <v>200</v>
      </c>
      <c r="J27" s="406">
        <v>23.8</v>
      </c>
      <c r="K27" s="372" t="s">
        <v>181</v>
      </c>
      <c r="L27" s="383" t="s">
        <v>8</v>
      </c>
      <c r="M27" s="374">
        <f>1819+3376</f>
        <v>5195</v>
      </c>
      <c r="N27" s="374">
        <f>23.18+22.95</f>
        <v>46.129999999999995</v>
      </c>
      <c r="O27" s="372">
        <f t="shared" ref="O27:O28" si="2">(J27*2)+$O$2</f>
        <v>49.17</v>
      </c>
      <c r="P27" s="377">
        <f>(M27/N27)*O27</f>
        <v>5537.3542163451129</v>
      </c>
      <c r="Q27" s="408" t="e">
        <f>(P27*R27)/S27</f>
        <v>#DIV/0!</v>
      </c>
      <c r="R27" s="409">
        <v>20</v>
      </c>
      <c r="S27" s="410"/>
      <c r="T27" s="411">
        <f>586662.11+377898.71+388493.24+358697.82</f>
        <v>1711751.8800000001</v>
      </c>
      <c r="U27" s="456">
        <v>1</v>
      </c>
      <c r="V27" s="457">
        <v>8</v>
      </c>
      <c r="W27" s="406">
        <v>0</v>
      </c>
      <c r="X27" s="406">
        <v>0</v>
      </c>
      <c r="Y27" s="412">
        <f>J27-V27-W27-X27</f>
        <v>15.8</v>
      </c>
      <c r="Z27" s="413">
        <f>SUM(V27:Y27)</f>
        <v>23.8</v>
      </c>
    </row>
    <row r="28" spans="1:26" ht="46.25" customHeight="1" x14ac:dyDescent="0.3">
      <c r="A28" s="382">
        <v>2</v>
      </c>
      <c r="B28" s="371" t="s">
        <v>184</v>
      </c>
      <c r="C28" s="372" t="s">
        <v>173</v>
      </c>
      <c r="D28" s="372" t="s">
        <v>176</v>
      </c>
      <c r="E28" s="390" t="s">
        <v>178</v>
      </c>
      <c r="F28" s="386" t="s">
        <v>189</v>
      </c>
      <c r="G28" s="386" t="s">
        <v>196</v>
      </c>
      <c r="H28" s="386" t="s">
        <v>193</v>
      </c>
      <c r="I28" s="386" t="s">
        <v>199</v>
      </c>
      <c r="J28" s="406">
        <v>15.242000000000001</v>
      </c>
      <c r="K28" s="372" t="s">
        <v>171</v>
      </c>
      <c r="L28" s="407" t="s">
        <v>25</v>
      </c>
      <c r="M28" s="374">
        <f>3376+1819+952</f>
        <v>6147</v>
      </c>
      <c r="N28" s="374">
        <f>22.73+23.09+11.4</f>
        <v>57.22</v>
      </c>
      <c r="O28" s="372">
        <f t="shared" si="2"/>
        <v>32.054000000000002</v>
      </c>
      <c r="P28" s="377">
        <f t="shared" ref="P28" si="3">(M28/N28)*O28</f>
        <v>3443.4802167074454</v>
      </c>
      <c r="Q28" s="414" t="e">
        <f t="shared" ref="Q28" si="4">(P28*R28)/S28</f>
        <v>#DIV/0!</v>
      </c>
      <c r="R28" s="379">
        <v>18</v>
      </c>
      <c r="S28" s="379"/>
      <c r="T28" s="374"/>
      <c r="U28" s="458">
        <v>2</v>
      </c>
      <c r="V28" s="457">
        <v>15.242000000000001</v>
      </c>
      <c r="W28" s="406">
        <v>0</v>
      </c>
      <c r="X28" s="406">
        <v>0</v>
      </c>
      <c r="Y28" s="412">
        <f t="shared" ref="Y28:Y30" si="5">J28-V28-W28-X28</f>
        <v>0</v>
      </c>
      <c r="Z28" s="413">
        <f t="shared" ref="Z28:Z30" si="6">SUM(V28:Y28)</f>
        <v>15.242000000000001</v>
      </c>
    </row>
    <row r="29" spans="1:26" ht="46.25" customHeight="1" x14ac:dyDescent="0.3">
      <c r="A29" s="415">
        <v>3</v>
      </c>
      <c r="B29" s="371" t="s">
        <v>184</v>
      </c>
      <c r="C29" s="416" t="s">
        <v>173</v>
      </c>
      <c r="D29" s="416" t="s">
        <v>176</v>
      </c>
      <c r="E29" s="417" t="s">
        <v>179</v>
      </c>
      <c r="F29" s="405" t="s">
        <v>190</v>
      </c>
      <c r="G29" s="405" t="s">
        <v>197</v>
      </c>
      <c r="H29" s="405" t="s">
        <v>194</v>
      </c>
      <c r="I29" s="405" t="s">
        <v>201</v>
      </c>
      <c r="J29" s="418">
        <v>28</v>
      </c>
      <c r="K29" s="419" t="s">
        <v>181</v>
      </c>
      <c r="L29" s="383" t="s">
        <v>8</v>
      </c>
      <c r="M29" s="420"/>
      <c r="N29" s="420"/>
      <c r="O29" s="416"/>
      <c r="P29" s="421"/>
      <c r="Q29" s="422"/>
      <c r="R29" s="423"/>
      <c r="S29" s="423"/>
      <c r="T29" s="420"/>
      <c r="U29" s="459"/>
      <c r="V29" s="460">
        <v>4.5</v>
      </c>
      <c r="W29" s="418">
        <v>0</v>
      </c>
      <c r="X29" s="418">
        <v>21</v>
      </c>
      <c r="Y29" s="412">
        <f t="shared" si="5"/>
        <v>2.5</v>
      </c>
      <c r="Z29" s="413">
        <f t="shared" si="6"/>
        <v>28</v>
      </c>
    </row>
    <row r="30" spans="1:26" ht="46.25" customHeight="1" thickBot="1" x14ac:dyDescent="0.35">
      <c r="A30" s="415">
        <v>4</v>
      </c>
      <c r="B30" s="371" t="s">
        <v>184</v>
      </c>
      <c r="C30" s="416" t="s">
        <v>173</v>
      </c>
      <c r="D30" s="416" t="s">
        <v>176</v>
      </c>
      <c r="E30" s="417" t="s">
        <v>180</v>
      </c>
      <c r="F30" s="405" t="s">
        <v>191</v>
      </c>
      <c r="G30" s="405" t="s">
        <v>198</v>
      </c>
      <c r="H30" s="405" t="s">
        <v>195</v>
      </c>
      <c r="I30" s="405" t="s">
        <v>202</v>
      </c>
      <c r="J30" s="418">
        <v>53.6</v>
      </c>
      <c r="K30" s="419" t="s">
        <v>84</v>
      </c>
      <c r="L30" s="383" t="s">
        <v>8</v>
      </c>
      <c r="M30" s="420"/>
      <c r="N30" s="420"/>
      <c r="O30" s="416"/>
      <c r="P30" s="421"/>
      <c r="Q30" s="422"/>
      <c r="R30" s="423"/>
      <c r="S30" s="423"/>
      <c r="T30" s="420"/>
      <c r="U30" s="459"/>
      <c r="V30" s="460">
        <v>0</v>
      </c>
      <c r="W30" s="418">
        <v>0</v>
      </c>
      <c r="X30" s="418">
        <v>0</v>
      </c>
      <c r="Y30" s="412">
        <f t="shared" si="5"/>
        <v>53.6</v>
      </c>
      <c r="Z30" s="449">
        <f t="shared" si="6"/>
        <v>53.6</v>
      </c>
    </row>
    <row r="31" spans="1:26" ht="28.25" customHeight="1" thickBot="1" x14ac:dyDescent="0.45">
      <c r="A31" s="609" t="s">
        <v>183</v>
      </c>
      <c r="B31" s="610"/>
      <c r="C31" s="610"/>
      <c r="D31" s="610"/>
      <c r="E31" s="610"/>
      <c r="F31" s="610"/>
      <c r="G31" s="610"/>
      <c r="H31" s="610"/>
      <c r="I31" s="611"/>
      <c r="J31" s="424">
        <f>SUM(J27:J30)</f>
        <v>120.642</v>
      </c>
      <c r="K31" s="425"/>
      <c r="L31" s="612" t="s">
        <v>182</v>
      </c>
      <c r="M31" s="426">
        <f>SUM(J27:J28)</f>
        <v>39.042000000000002</v>
      </c>
      <c r="N31" s="427"/>
      <c r="O31" s="427"/>
      <c r="P31" s="428"/>
      <c r="Q31" s="429"/>
      <c r="R31" s="430"/>
      <c r="S31" s="430"/>
      <c r="T31" s="431"/>
      <c r="U31" s="432"/>
      <c r="V31" s="615">
        <f>SUM(V27:V30)</f>
        <v>27.742000000000001</v>
      </c>
      <c r="W31" s="618">
        <f>SUM(W27:W30)</f>
        <v>0</v>
      </c>
      <c r="X31" s="618">
        <f>SUM(X27:X30)</f>
        <v>21</v>
      </c>
      <c r="Y31" s="584">
        <f>SUM(Y27:Y30)</f>
        <v>71.900000000000006</v>
      </c>
      <c r="Z31" s="651">
        <f>SUM(V31:Y33)</f>
        <v>120.64200000000001</v>
      </c>
    </row>
    <row r="32" spans="1:26" ht="28.25" customHeight="1" x14ac:dyDescent="0.3">
      <c r="A32" s="587" t="s">
        <v>186</v>
      </c>
      <c r="B32" s="588"/>
      <c r="C32" s="588"/>
      <c r="D32" s="588"/>
      <c r="E32" s="588"/>
      <c r="F32" s="588"/>
      <c r="G32" s="588"/>
      <c r="H32" s="588"/>
      <c r="I32" s="588"/>
      <c r="J32" s="589"/>
      <c r="K32" s="590"/>
      <c r="L32" s="613"/>
      <c r="M32" s="433" t="e">
        <f>SUM(#REF!)</f>
        <v>#REF!</v>
      </c>
      <c r="N32" s="434"/>
      <c r="O32" s="434"/>
      <c r="P32" s="435"/>
      <c r="Q32" s="467"/>
      <c r="R32" s="467"/>
      <c r="S32" s="437"/>
      <c r="T32" s="467"/>
      <c r="U32" s="467"/>
      <c r="V32" s="616"/>
      <c r="W32" s="619"/>
      <c r="X32" s="619"/>
      <c r="Y32" s="585"/>
      <c r="Z32" s="652"/>
    </row>
    <row r="33" spans="1:26" ht="28.25" customHeight="1" x14ac:dyDescent="0.3">
      <c r="A33" s="591"/>
      <c r="B33" s="589"/>
      <c r="C33" s="589"/>
      <c r="D33" s="589"/>
      <c r="E33" s="589"/>
      <c r="F33" s="589"/>
      <c r="G33" s="589"/>
      <c r="H33" s="589"/>
      <c r="I33" s="589"/>
      <c r="J33" s="589"/>
      <c r="K33" s="590"/>
      <c r="L33" s="614"/>
      <c r="M33" s="438">
        <v>0</v>
      </c>
      <c r="N33" s="439"/>
      <c r="O33" s="439"/>
      <c r="P33" s="440"/>
      <c r="Q33" s="467"/>
      <c r="R33" s="467"/>
      <c r="S33" s="437"/>
      <c r="T33" s="467"/>
      <c r="U33" s="467"/>
      <c r="V33" s="617"/>
      <c r="W33" s="620"/>
      <c r="X33" s="620"/>
      <c r="Y33" s="586"/>
      <c r="Z33" s="653"/>
    </row>
    <row r="34" spans="1:26" ht="28.25" customHeight="1" thickBot="1" x14ac:dyDescent="0.35">
      <c r="A34" s="592"/>
      <c r="B34" s="593"/>
      <c r="C34" s="593"/>
      <c r="D34" s="593"/>
      <c r="E34" s="593"/>
      <c r="F34" s="593"/>
      <c r="G34" s="593"/>
      <c r="H34" s="593"/>
      <c r="I34" s="593"/>
      <c r="J34" s="593"/>
      <c r="K34" s="594"/>
      <c r="L34" s="441" t="s">
        <v>20</v>
      </c>
      <c r="M34" s="441" t="e">
        <f>SUM(M31:M33)</f>
        <v>#REF!</v>
      </c>
      <c r="N34" s="442"/>
      <c r="O34" s="442"/>
      <c r="P34" s="443"/>
      <c r="Q34" s="446"/>
      <c r="R34" s="446"/>
      <c r="S34" s="447"/>
      <c r="T34" s="446"/>
      <c r="U34" s="446"/>
      <c r="V34" s="461">
        <f>SUM(V31:V33)</f>
        <v>27.742000000000001</v>
      </c>
      <c r="W34" s="444">
        <f>SUM(W31:W33)</f>
        <v>0</v>
      </c>
      <c r="X34" s="444">
        <f>SUM(X31:X33)</f>
        <v>21</v>
      </c>
      <c r="Y34" s="445">
        <f>SUM(Y31:Y33)</f>
        <v>71.900000000000006</v>
      </c>
      <c r="Z34" s="448">
        <f>SUM(V34:Y34)</f>
        <v>120.64200000000001</v>
      </c>
    </row>
    <row r="35" spans="1:26" ht="20" x14ac:dyDescent="0.4">
      <c r="A35" s="436"/>
      <c r="B35" s="436"/>
      <c r="C35" s="436"/>
      <c r="D35" s="436"/>
      <c r="E35" s="436"/>
      <c r="F35" s="436"/>
      <c r="G35" s="436"/>
      <c r="H35" s="436"/>
      <c r="I35" s="436"/>
      <c r="J35" s="436"/>
      <c r="K35" s="436"/>
      <c r="L35" s="462"/>
      <c r="M35" s="463"/>
      <c r="N35" s="436"/>
      <c r="O35" s="436"/>
      <c r="P35" s="436"/>
      <c r="Q35" s="436"/>
      <c r="R35" s="436"/>
      <c r="S35" s="464"/>
      <c r="T35" s="436"/>
      <c r="U35" s="436"/>
      <c r="V35" s="436"/>
      <c r="W35" s="436"/>
      <c r="X35" s="436"/>
      <c r="Y35" s="436"/>
      <c r="Z35" s="436"/>
    </row>
    <row r="37" spans="1:26" ht="34.25" customHeight="1" x14ac:dyDescent="0.3"/>
    <row r="46" spans="1:26" ht="20" x14ac:dyDescent="0.4">
      <c r="E46" s="352"/>
    </row>
  </sheetData>
  <mergeCells count="44">
    <mergeCell ref="V3:Z3"/>
    <mergeCell ref="V4:Z4"/>
    <mergeCell ref="Z5:Z8"/>
    <mergeCell ref="Z31:Z33"/>
    <mergeCell ref="A1:Y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Q3:Q8"/>
    <mergeCell ref="R3:R8"/>
    <mergeCell ref="Y31:Y33"/>
    <mergeCell ref="A32:K34"/>
    <mergeCell ref="T5:T8"/>
    <mergeCell ref="V5:V6"/>
    <mergeCell ref="W5:W6"/>
    <mergeCell ref="X5:X6"/>
    <mergeCell ref="Y5:Y6"/>
    <mergeCell ref="V7:V8"/>
    <mergeCell ref="W7:W8"/>
    <mergeCell ref="X7:X8"/>
    <mergeCell ref="Y7:Y8"/>
    <mergeCell ref="A31:I31"/>
    <mergeCell ref="L31:L33"/>
    <mergeCell ref="V31:V33"/>
    <mergeCell ref="W31:W33"/>
    <mergeCell ref="X31:X33"/>
  </mergeCells>
  <pageMargins left="0.70866141732283472" right="0.70866141732283472" top="0.74803149606299213" bottom="0.74803149606299213" header="0.31496062992125984" footer="0.31496062992125984"/>
  <pageSetup scale="35" orientation="landscape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AK54"/>
  <sheetViews>
    <sheetView zoomScale="60" zoomScaleNormal="60" workbookViewId="0">
      <pane xSplit="10" ySplit="8" topLeftCell="K9" activePane="bottomRight" state="frozen"/>
      <selection pane="topRight" activeCell="K1" sqref="K1"/>
      <selection pane="bottomLeft" activeCell="A8" sqref="A8"/>
      <selection pane="bottomRight" sqref="A1:AK1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4" customWidth="1"/>
    <col min="13" max="15" width="12" style="1" customWidth="1"/>
    <col min="16" max="16" width="13" style="1" customWidth="1"/>
    <col min="17" max="18" width="12" style="1" customWidth="1"/>
    <col min="19" max="19" width="14" style="6" customWidth="1"/>
    <col min="20" max="20" width="20.816406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510" t="s">
        <v>152</v>
      </c>
      <c r="B1" s="510"/>
      <c r="C1" s="510"/>
      <c r="D1" s="510"/>
      <c r="E1" s="510"/>
      <c r="F1" s="510"/>
      <c r="G1" s="510"/>
      <c r="H1" s="510"/>
      <c r="I1" s="510"/>
      <c r="J1" s="510"/>
      <c r="K1" s="510"/>
      <c r="L1" s="510"/>
      <c r="M1" s="510"/>
      <c r="N1" s="510"/>
      <c r="O1" s="510"/>
      <c r="P1" s="510"/>
      <c r="Q1" s="510"/>
      <c r="R1" s="510"/>
      <c r="S1" s="510"/>
      <c r="T1" s="510"/>
      <c r="U1" s="510"/>
      <c r="V1" s="510"/>
      <c r="W1" s="510"/>
      <c r="X1" s="510"/>
      <c r="Y1" s="510"/>
      <c r="Z1" s="510"/>
      <c r="AA1" s="510"/>
      <c r="AB1" s="510"/>
      <c r="AC1" s="510"/>
      <c r="AD1" s="510"/>
      <c r="AE1" s="510"/>
      <c r="AF1" s="510"/>
      <c r="AG1" s="510"/>
      <c r="AH1" s="510"/>
      <c r="AI1" s="510"/>
      <c r="AJ1" s="510"/>
      <c r="AK1" s="510"/>
    </row>
    <row r="2" spans="1:37" ht="46.25" customHeight="1" thickBot="1" x14ac:dyDescent="0.35">
      <c r="O2" s="91">
        <f>((3.14*2^2)/4)/2</f>
        <v>1.57</v>
      </c>
    </row>
    <row r="3" spans="1:37" ht="34.25" customHeight="1" x14ac:dyDescent="0.3">
      <c r="A3" s="511" t="s">
        <v>33</v>
      </c>
      <c r="B3" s="514" t="s">
        <v>34</v>
      </c>
      <c r="C3" s="517" t="s">
        <v>0</v>
      </c>
      <c r="D3" s="520" t="s">
        <v>150</v>
      </c>
      <c r="E3" s="520" t="s">
        <v>2</v>
      </c>
      <c r="F3" s="520" t="s">
        <v>3</v>
      </c>
      <c r="G3" s="520"/>
      <c r="H3" s="520" t="s">
        <v>147</v>
      </c>
      <c r="I3" s="520"/>
      <c r="J3" s="534" t="s">
        <v>6</v>
      </c>
      <c r="K3" s="529" t="s">
        <v>26</v>
      </c>
      <c r="L3" s="529"/>
      <c r="M3" s="531" t="s">
        <v>27</v>
      </c>
      <c r="N3" s="531" t="s">
        <v>28</v>
      </c>
      <c r="O3" s="542" t="s">
        <v>32</v>
      </c>
      <c r="P3" s="545" t="s">
        <v>139</v>
      </c>
      <c r="Q3" s="537" t="s">
        <v>143</v>
      </c>
      <c r="R3" s="537" t="s">
        <v>148</v>
      </c>
      <c r="S3" s="572" t="s">
        <v>9</v>
      </c>
      <c r="T3" s="572"/>
      <c r="U3" s="531" t="s">
        <v>151</v>
      </c>
      <c r="V3" s="574" t="s">
        <v>149</v>
      </c>
      <c r="W3" s="575"/>
      <c r="X3" s="575"/>
      <c r="Y3" s="575"/>
      <c r="Z3" s="575"/>
      <c r="AA3" s="575"/>
      <c r="AB3" s="575"/>
      <c r="AC3" s="575"/>
      <c r="AD3" s="575"/>
      <c r="AE3" s="575"/>
      <c r="AF3" s="575"/>
      <c r="AG3" s="575"/>
      <c r="AH3" s="575"/>
      <c r="AI3" s="575"/>
      <c r="AJ3" s="575"/>
      <c r="AK3" s="576"/>
    </row>
    <row r="4" spans="1:37" ht="42" customHeight="1" x14ac:dyDescent="0.3">
      <c r="A4" s="512"/>
      <c r="B4" s="515"/>
      <c r="C4" s="518"/>
      <c r="D4" s="521"/>
      <c r="E4" s="521"/>
      <c r="F4" s="521"/>
      <c r="G4" s="521"/>
      <c r="H4" s="521"/>
      <c r="I4" s="521"/>
      <c r="J4" s="535"/>
      <c r="K4" s="530"/>
      <c r="L4" s="530"/>
      <c r="M4" s="532"/>
      <c r="N4" s="532"/>
      <c r="O4" s="543"/>
      <c r="P4" s="546"/>
      <c r="Q4" s="538"/>
      <c r="R4" s="538"/>
      <c r="S4" s="573"/>
      <c r="T4" s="573"/>
      <c r="U4" s="532"/>
      <c r="V4" s="577" t="s">
        <v>21</v>
      </c>
      <c r="W4" s="577"/>
      <c r="X4" s="577"/>
      <c r="Y4" s="577"/>
      <c r="Z4" s="550" t="s">
        <v>22</v>
      </c>
      <c r="AA4" s="550"/>
      <c r="AB4" s="550"/>
      <c r="AC4" s="550"/>
      <c r="AD4" s="550"/>
      <c r="AE4" s="550"/>
      <c r="AF4" s="548" t="s">
        <v>19</v>
      </c>
      <c r="AG4" s="548"/>
      <c r="AH4" s="548"/>
      <c r="AI4" s="548"/>
      <c r="AJ4" s="548"/>
      <c r="AK4" s="549"/>
    </row>
    <row r="5" spans="1:37" ht="30" customHeight="1" x14ac:dyDescent="0.45">
      <c r="A5" s="512"/>
      <c r="B5" s="515"/>
      <c r="C5" s="518"/>
      <c r="D5" s="521"/>
      <c r="E5" s="521"/>
      <c r="F5" s="527" t="s">
        <v>4</v>
      </c>
      <c r="G5" s="527" t="s">
        <v>5</v>
      </c>
      <c r="H5" s="527" t="s">
        <v>4</v>
      </c>
      <c r="I5" s="527" t="s">
        <v>5</v>
      </c>
      <c r="J5" s="535"/>
      <c r="K5" s="540" t="s">
        <v>7</v>
      </c>
      <c r="L5" s="195" t="s">
        <v>14</v>
      </c>
      <c r="M5" s="532"/>
      <c r="N5" s="532"/>
      <c r="O5" s="543"/>
      <c r="P5" s="546"/>
      <c r="Q5" s="538"/>
      <c r="R5" s="538"/>
      <c r="S5" s="578" t="s">
        <v>10</v>
      </c>
      <c r="T5" s="580" t="s">
        <v>11</v>
      </c>
      <c r="U5" s="532"/>
      <c r="V5" s="551">
        <v>2021</v>
      </c>
      <c r="W5" s="552"/>
      <c r="X5" s="551">
        <v>2022</v>
      </c>
      <c r="Y5" s="552"/>
      <c r="Z5" s="555">
        <v>2023</v>
      </c>
      <c r="AA5" s="556"/>
      <c r="AB5" s="555">
        <v>2024</v>
      </c>
      <c r="AC5" s="556"/>
      <c r="AD5" s="555">
        <v>2025</v>
      </c>
      <c r="AE5" s="556"/>
      <c r="AF5" s="555">
        <v>2026</v>
      </c>
      <c r="AG5" s="556"/>
      <c r="AH5" s="555">
        <v>2027</v>
      </c>
      <c r="AI5" s="556"/>
      <c r="AJ5" s="555" t="s">
        <v>11</v>
      </c>
      <c r="AK5" s="559"/>
    </row>
    <row r="6" spans="1:37" ht="30" customHeight="1" x14ac:dyDescent="0.45">
      <c r="A6" s="512"/>
      <c r="B6" s="515"/>
      <c r="C6" s="518"/>
      <c r="D6" s="521"/>
      <c r="E6" s="521"/>
      <c r="F6" s="527"/>
      <c r="G6" s="527"/>
      <c r="H6" s="527"/>
      <c r="I6" s="527"/>
      <c r="J6" s="535"/>
      <c r="K6" s="540"/>
      <c r="L6" s="196" t="s">
        <v>15</v>
      </c>
      <c r="M6" s="532"/>
      <c r="N6" s="532"/>
      <c r="O6" s="543"/>
      <c r="P6" s="546"/>
      <c r="Q6" s="538"/>
      <c r="R6" s="538"/>
      <c r="S6" s="578"/>
      <c r="T6" s="580"/>
      <c r="U6" s="532"/>
      <c r="V6" s="553"/>
      <c r="W6" s="554"/>
      <c r="X6" s="553"/>
      <c r="Y6" s="554"/>
      <c r="Z6" s="557"/>
      <c r="AA6" s="558"/>
      <c r="AB6" s="557"/>
      <c r="AC6" s="558"/>
      <c r="AD6" s="557"/>
      <c r="AE6" s="558"/>
      <c r="AF6" s="557"/>
      <c r="AG6" s="558"/>
      <c r="AH6" s="557"/>
      <c r="AI6" s="558"/>
      <c r="AJ6" s="557"/>
      <c r="AK6" s="560"/>
    </row>
    <row r="7" spans="1:37" ht="30" customHeight="1" x14ac:dyDescent="0.45">
      <c r="A7" s="512"/>
      <c r="B7" s="515"/>
      <c r="C7" s="518"/>
      <c r="D7" s="521"/>
      <c r="E7" s="521"/>
      <c r="F7" s="527"/>
      <c r="G7" s="527"/>
      <c r="H7" s="527"/>
      <c r="I7" s="527"/>
      <c r="J7" s="535"/>
      <c r="K7" s="540"/>
      <c r="L7" s="197" t="s">
        <v>16</v>
      </c>
      <c r="M7" s="532"/>
      <c r="N7" s="532"/>
      <c r="O7" s="543"/>
      <c r="P7" s="546"/>
      <c r="Q7" s="538"/>
      <c r="R7" s="538"/>
      <c r="S7" s="578"/>
      <c r="T7" s="580"/>
      <c r="U7" s="532"/>
      <c r="V7" s="525" t="s">
        <v>12</v>
      </c>
      <c r="W7" s="525" t="s">
        <v>13</v>
      </c>
      <c r="X7" s="525" t="s">
        <v>12</v>
      </c>
      <c r="Y7" s="525" t="s">
        <v>13</v>
      </c>
      <c r="Z7" s="525" t="s">
        <v>12</v>
      </c>
      <c r="AA7" s="525" t="s">
        <v>13</v>
      </c>
      <c r="AB7" s="525" t="s">
        <v>12</v>
      </c>
      <c r="AC7" s="525" t="s">
        <v>13</v>
      </c>
      <c r="AD7" s="525" t="s">
        <v>12</v>
      </c>
      <c r="AE7" s="523" t="s">
        <v>13</v>
      </c>
      <c r="AF7" s="525" t="s">
        <v>12</v>
      </c>
      <c r="AG7" s="523" t="s">
        <v>13</v>
      </c>
      <c r="AH7" s="525" t="s">
        <v>12</v>
      </c>
      <c r="AI7" s="523" t="s">
        <v>13</v>
      </c>
      <c r="AJ7" s="561" t="s">
        <v>12</v>
      </c>
      <c r="AK7" s="582" t="s">
        <v>13</v>
      </c>
    </row>
    <row r="8" spans="1:37" ht="30" customHeight="1" thickBot="1" x14ac:dyDescent="0.5">
      <c r="A8" s="513"/>
      <c r="B8" s="516"/>
      <c r="C8" s="519"/>
      <c r="D8" s="522"/>
      <c r="E8" s="522"/>
      <c r="F8" s="528"/>
      <c r="G8" s="528"/>
      <c r="H8" s="528"/>
      <c r="I8" s="528"/>
      <c r="J8" s="536"/>
      <c r="K8" s="541"/>
      <c r="L8" s="198"/>
      <c r="M8" s="533"/>
      <c r="N8" s="533"/>
      <c r="O8" s="544"/>
      <c r="P8" s="547"/>
      <c r="Q8" s="539"/>
      <c r="R8" s="539"/>
      <c r="S8" s="579"/>
      <c r="T8" s="581"/>
      <c r="U8" s="533"/>
      <c r="V8" s="526"/>
      <c r="W8" s="526"/>
      <c r="X8" s="526"/>
      <c r="Y8" s="526"/>
      <c r="Z8" s="526"/>
      <c r="AA8" s="526"/>
      <c r="AB8" s="526"/>
      <c r="AC8" s="526"/>
      <c r="AD8" s="526"/>
      <c r="AE8" s="524"/>
      <c r="AF8" s="526"/>
      <c r="AG8" s="524"/>
      <c r="AH8" s="526"/>
      <c r="AI8" s="524"/>
      <c r="AJ8" s="562"/>
      <c r="AK8" s="583"/>
    </row>
    <row r="9" spans="1:37" ht="46.25" customHeight="1" thickBot="1" x14ac:dyDescent="0.35">
      <c r="A9" s="245">
        <v>1</v>
      </c>
      <c r="B9" s="203" t="s">
        <v>35</v>
      </c>
      <c r="C9" s="204" t="s">
        <v>43</v>
      </c>
      <c r="D9" s="204" t="s">
        <v>47</v>
      </c>
      <c r="E9" s="205" t="s">
        <v>63</v>
      </c>
      <c r="F9" s="246"/>
      <c r="G9" s="206"/>
      <c r="H9" s="206"/>
      <c r="I9" s="206"/>
      <c r="J9" s="203">
        <v>7</v>
      </c>
      <c r="K9" s="204" t="s">
        <v>82</v>
      </c>
      <c r="L9" s="247" t="s">
        <v>85</v>
      </c>
      <c r="M9" s="203">
        <f>3376+1819</f>
        <v>5195</v>
      </c>
      <c r="N9" s="203">
        <f>22.73+23.09</f>
        <v>45.82</v>
      </c>
      <c r="O9" s="207">
        <f>(J9*2)+$O$2</f>
        <v>15.57</v>
      </c>
      <c r="P9" s="208">
        <f>(M9/N9)*O9</f>
        <v>1765.3022697512006</v>
      </c>
      <c r="Q9" s="209"/>
      <c r="R9" s="210"/>
      <c r="S9" s="211">
        <v>5000</v>
      </c>
      <c r="T9" s="204"/>
      <c r="U9" s="212"/>
      <c r="V9" s="203"/>
      <c r="W9" s="213"/>
      <c r="X9" s="203"/>
      <c r="Y9" s="213"/>
      <c r="Z9" s="214">
        <f>5000*AA9</f>
        <v>35000</v>
      </c>
      <c r="AA9" s="215">
        <f t="shared" ref="AA9:AA25" si="0">J9</f>
        <v>7</v>
      </c>
      <c r="AB9" s="214">
        <f>5000*AC9</f>
        <v>35000</v>
      </c>
      <c r="AC9" s="215">
        <f>AA9</f>
        <v>7</v>
      </c>
      <c r="AD9" s="214">
        <f>5000*AE9</f>
        <v>35000</v>
      </c>
      <c r="AE9" s="216">
        <f>AC9</f>
        <v>7</v>
      </c>
      <c r="AF9" s="214">
        <f>5000*AG9</f>
        <v>35000</v>
      </c>
      <c r="AG9" s="216">
        <f>AE9</f>
        <v>7</v>
      </c>
      <c r="AH9" s="214">
        <f>5000*AI9</f>
        <v>35000</v>
      </c>
      <c r="AI9" s="219">
        <f>AG9</f>
        <v>7</v>
      </c>
      <c r="AJ9" s="220"/>
      <c r="AK9" s="221"/>
    </row>
    <row r="10" spans="1:37" ht="46.25" customHeight="1" thickBot="1" x14ac:dyDescent="0.35">
      <c r="A10" s="130">
        <v>2</v>
      </c>
      <c r="B10" s="131" t="s">
        <v>36</v>
      </c>
      <c r="C10" s="132" t="s">
        <v>43</v>
      </c>
      <c r="D10" s="132" t="s">
        <v>48</v>
      </c>
      <c r="E10" s="133" t="s">
        <v>64</v>
      </c>
      <c r="F10" s="134"/>
      <c r="G10" s="134"/>
      <c r="H10" s="134"/>
      <c r="I10" s="134"/>
      <c r="J10" s="135">
        <v>6.5</v>
      </c>
      <c r="K10" s="132" t="s">
        <v>82</v>
      </c>
      <c r="L10" s="136" t="s">
        <v>85</v>
      </c>
      <c r="M10" s="135">
        <f>3376+1819+952</f>
        <v>6147</v>
      </c>
      <c r="N10" s="135">
        <f>22.73+23.09+11.4</f>
        <v>57.22</v>
      </c>
      <c r="O10" s="137">
        <f t="shared" ref="O10:O25" si="1">(J10*2)+$O$2</f>
        <v>14.57</v>
      </c>
      <c r="P10" s="125">
        <f t="shared" ref="P10:P25" si="2">(M10/N10)*O10</f>
        <v>1565.218280321566</v>
      </c>
      <c r="Q10" s="138"/>
      <c r="R10" s="139"/>
      <c r="S10" s="126">
        <v>5000</v>
      </c>
      <c r="T10" s="132"/>
      <c r="U10" s="127"/>
      <c r="V10" s="135"/>
      <c r="W10" s="200"/>
      <c r="X10" s="135"/>
      <c r="Y10" s="200"/>
      <c r="Z10" s="128">
        <f t="shared" ref="Z10:Z25" si="3">5000*AA10</f>
        <v>32500</v>
      </c>
      <c r="AA10" s="140">
        <f t="shared" si="0"/>
        <v>6.5</v>
      </c>
      <c r="AB10" s="128">
        <f t="shared" ref="AB10:AB25" si="4">5000*AC10</f>
        <v>32500</v>
      </c>
      <c r="AC10" s="140">
        <f t="shared" ref="AC10:AC25" si="5">AA10</f>
        <v>6.5</v>
      </c>
      <c r="AD10" s="128">
        <f t="shared" ref="AD10:AD25" si="6">5000*AE10</f>
        <v>32500</v>
      </c>
      <c r="AE10" s="141">
        <f t="shared" ref="AE10:AE25" si="7">AC10</f>
        <v>6.5</v>
      </c>
      <c r="AF10" s="214">
        <f t="shared" ref="AF10:AF25" si="8">5000*AG10</f>
        <v>32500</v>
      </c>
      <c r="AG10" s="141">
        <f t="shared" ref="AG10:AG25" si="9">AE10</f>
        <v>6.5</v>
      </c>
      <c r="AH10" s="128">
        <f t="shared" ref="AH10:AH25" si="10">5000*AI10</f>
        <v>32500</v>
      </c>
      <c r="AI10" s="143">
        <f t="shared" ref="AI10:AI25" si="11">AG10</f>
        <v>6.5</v>
      </c>
      <c r="AJ10" s="144"/>
      <c r="AK10" s="222"/>
    </row>
    <row r="11" spans="1:37" ht="46.25" customHeight="1" thickBot="1" x14ac:dyDescent="0.35">
      <c r="A11" s="145">
        <v>3</v>
      </c>
      <c r="B11" s="131" t="s">
        <v>37</v>
      </c>
      <c r="C11" s="132" t="s">
        <v>44</v>
      </c>
      <c r="D11" s="132" t="s">
        <v>49</v>
      </c>
      <c r="E11" s="133" t="s">
        <v>65</v>
      </c>
      <c r="F11" s="134"/>
      <c r="G11" s="134"/>
      <c r="H11" s="134"/>
      <c r="I11" s="134"/>
      <c r="J11" s="135">
        <v>10.5</v>
      </c>
      <c r="K11" s="132" t="s">
        <v>82</v>
      </c>
      <c r="L11" s="136" t="s">
        <v>85</v>
      </c>
      <c r="M11" s="135">
        <v>1077</v>
      </c>
      <c r="N11" s="135">
        <v>42.11</v>
      </c>
      <c r="O11" s="137">
        <f t="shared" si="1"/>
        <v>22.57</v>
      </c>
      <c r="P11" s="125">
        <f t="shared" si="2"/>
        <v>577.24744716219425</v>
      </c>
      <c r="Q11" s="138"/>
      <c r="R11" s="139"/>
      <c r="S11" s="126">
        <v>5000</v>
      </c>
      <c r="T11" s="132"/>
      <c r="U11" s="127"/>
      <c r="V11" s="135"/>
      <c r="W11" s="200"/>
      <c r="X11" s="135"/>
      <c r="Y11" s="200"/>
      <c r="Z11" s="128">
        <f t="shared" si="3"/>
        <v>52500</v>
      </c>
      <c r="AA11" s="140">
        <f t="shared" si="0"/>
        <v>10.5</v>
      </c>
      <c r="AB11" s="128">
        <f t="shared" si="4"/>
        <v>52500</v>
      </c>
      <c r="AC11" s="140">
        <f t="shared" si="5"/>
        <v>10.5</v>
      </c>
      <c r="AD11" s="128">
        <f t="shared" si="6"/>
        <v>52500</v>
      </c>
      <c r="AE11" s="141">
        <f t="shared" si="7"/>
        <v>10.5</v>
      </c>
      <c r="AF11" s="214">
        <f t="shared" si="8"/>
        <v>52500</v>
      </c>
      <c r="AG11" s="141">
        <f t="shared" si="9"/>
        <v>10.5</v>
      </c>
      <c r="AH11" s="128">
        <f t="shared" si="10"/>
        <v>52500</v>
      </c>
      <c r="AI11" s="143">
        <f t="shared" si="11"/>
        <v>10.5</v>
      </c>
      <c r="AJ11" s="144"/>
      <c r="AK11" s="222"/>
    </row>
    <row r="12" spans="1:37" ht="46.25" customHeight="1" thickBot="1" x14ac:dyDescent="0.35">
      <c r="A12" s="245">
        <v>4</v>
      </c>
      <c r="B12" s="135" t="s">
        <v>38</v>
      </c>
      <c r="C12" s="132" t="s">
        <v>45</v>
      </c>
      <c r="D12" s="132" t="s">
        <v>50</v>
      </c>
      <c r="E12" s="133" t="s">
        <v>66</v>
      </c>
      <c r="F12" s="134"/>
      <c r="G12" s="134"/>
      <c r="H12" s="134"/>
      <c r="I12" s="134"/>
      <c r="J12" s="135">
        <v>2.5</v>
      </c>
      <c r="K12" s="132" t="s">
        <v>137</v>
      </c>
      <c r="L12" s="146" t="s">
        <v>8</v>
      </c>
      <c r="M12" s="135">
        <f>15935+3078</f>
        <v>19013</v>
      </c>
      <c r="N12" s="135">
        <f>104.77+37.12</f>
        <v>141.88999999999999</v>
      </c>
      <c r="O12" s="137">
        <f t="shared" si="1"/>
        <v>6.57</v>
      </c>
      <c r="P12" s="125">
        <f t="shared" si="2"/>
        <v>880.36796109662419</v>
      </c>
      <c r="Q12" s="138"/>
      <c r="R12" s="139"/>
      <c r="S12" s="126">
        <v>5000</v>
      </c>
      <c r="T12" s="132"/>
      <c r="U12" s="127"/>
      <c r="V12" s="135"/>
      <c r="W12" s="200"/>
      <c r="X12" s="135"/>
      <c r="Y12" s="200"/>
      <c r="Z12" s="128">
        <f t="shared" si="3"/>
        <v>12500</v>
      </c>
      <c r="AA12" s="140">
        <f t="shared" si="0"/>
        <v>2.5</v>
      </c>
      <c r="AB12" s="128">
        <f t="shared" si="4"/>
        <v>12500</v>
      </c>
      <c r="AC12" s="140">
        <f t="shared" si="5"/>
        <v>2.5</v>
      </c>
      <c r="AD12" s="128">
        <f t="shared" si="6"/>
        <v>12500</v>
      </c>
      <c r="AE12" s="141">
        <f t="shared" si="7"/>
        <v>2.5</v>
      </c>
      <c r="AF12" s="214">
        <f t="shared" si="8"/>
        <v>12500</v>
      </c>
      <c r="AG12" s="141">
        <f t="shared" si="9"/>
        <v>2.5</v>
      </c>
      <c r="AH12" s="128">
        <f t="shared" si="10"/>
        <v>12500</v>
      </c>
      <c r="AI12" s="143">
        <f t="shared" si="11"/>
        <v>2.5</v>
      </c>
      <c r="AJ12" s="144"/>
      <c r="AK12" s="222"/>
    </row>
    <row r="13" spans="1:37" ht="46.25" customHeight="1" thickBot="1" x14ac:dyDescent="0.35">
      <c r="A13" s="130">
        <v>5</v>
      </c>
      <c r="B13" s="135" t="s">
        <v>38</v>
      </c>
      <c r="C13" s="132" t="s">
        <v>45</v>
      </c>
      <c r="D13" s="132" t="s">
        <v>51</v>
      </c>
      <c r="E13" s="133" t="s">
        <v>67</v>
      </c>
      <c r="F13" s="134"/>
      <c r="G13" s="134"/>
      <c r="H13" s="134"/>
      <c r="I13" s="134"/>
      <c r="J13" s="135">
        <v>1</v>
      </c>
      <c r="K13" s="132" t="s">
        <v>83</v>
      </c>
      <c r="L13" s="146" t="s">
        <v>8</v>
      </c>
      <c r="M13" s="135">
        <f>15935+3078</f>
        <v>19013</v>
      </c>
      <c r="N13" s="135">
        <f>104.77+37.12</f>
        <v>141.88999999999999</v>
      </c>
      <c r="O13" s="137">
        <f t="shared" si="1"/>
        <v>3.5700000000000003</v>
      </c>
      <c r="P13" s="125">
        <f t="shared" si="2"/>
        <v>478.37345831277759</v>
      </c>
      <c r="Q13" s="138"/>
      <c r="R13" s="139"/>
      <c r="S13" s="126">
        <v>5000</v>
      </c>
      <c r="T13" s="132"/>
      <c r="U13" s="127"/>
      <c r="V13" s="135"/>
      <c r="W13" s="200"/>
      <c r="X13" s="135"/>
      <c r="Y13" s="200"/>
      <c r="Z13" s="128">
        <f t="shared" si="3"/>
        <v>5000</v>
      </c>
      <c r="AA13" s="140">
        <f t="shared" si="0"/>
        <v>1</v>
      </c>
      <c r="AB13" s="128">
        <f t="shared" si="4"/>
        <v>5000</v>
      </c>
      <c r="AC13" s="140">
        <f t="shared" si="5"/>
        <v>1</v>
      </c>
      <c r="AD13" s="128">
        <f t="shared" si="6"/>
        <v>5000</v>
      </c>
      <c r="AE13" s="141">
        <f t="shared" si="7"/>
        <v>1</v>
      </c>
      <c r="AF13" s="214">
        <f t="shared" si="8"/>
        <v>5000</v>
      </c>
      <c r="AG13" s="141">
        <f t="shared" si="9"/>
        <v>1</v>
      </c>
      <c r="AH13" s="128">
        <f t="shared" si="10"/>
        <v>5000</v>
      </c>
      <c r="AI13" s="143">
        <f t="shared" si="11"/>
        <v>1</v>
      </c>
      <c r="AJ13" s="144"/>
      <c r="AK13" s="222"/>
    </row>
    <row r="14" spans="1:37" ht="46.25" customHeight="1" thickBot="1" x14ac:dyDescent="0.35">
      <c r="A14" s="145">
        <v>6</v>
      </c>
      <c r="B14" s="135" t="s">
        <v>39</v>
      </c>
      <c r="C14" s="132" t="s">
        <v>45</v>
      </c>
      <c r="D14" s="132" t="s">
        <v>52</v>
      </c>
      <c r="E14" s="133" t="s">
        <v>68</v>
      </c>
      <c r="F14" s="134"/>
      <c r="G14" s="134"/>
      <c r="H14" s="134"/>
      <c r="I14" s="134"/>
      <c r="J14" s="135">
        <v>7</v>
      </c>
      <c r="K14" s="132" t="s">
        <v>83</v>
      </c>
      <c r="L14" s="146" t="s">
        <v>8</v>
      </c>
      <c r="M14" s="135">
        <f>15935+2785</f>
        <v>18720</v>
      </c>
      <c r="N14" s="135">
        <f>104.77+76.28</f>
        <v>181.05</v>
      </c>
      <c r="O14" s="137">
        <f t="shared" si="1"/>
        <v>15.57</v>
      </c>
      <c r="P14" s="125">
        <f t="shared" si="2"/>
        <v>1609.8889809444904</v>
      </c>
      <c r="Q14" s="138"/>
      <c r="R14" s="139"/>
      <c r="S14" s="126">
        <v>5000</v>
      </c>
      <c r="T14" s="132"/>
      <c r="U14" s="127"/>
      <c r="V14" s="135"/>
      <c r="W14" s="200"/>
      <c r="X14" s="135"/>
      <c r="Y14" s="200"/>
      <c r="Z14" s="128">
        <f t="shared" si="3"/>
        <v>35000</v>
      </c>
      <c r="AA14" s="140">
        <f t="shared" si="0"/>
        <v>7</v>
      </c>
      <c r="AB14" s="128">
        <f t="shared" si="4"/>
        <v>35000</v>
      </c>
      <c r="AC14" s="140">
        <f t="shared" si="5"/>
        <v>7</v>
      </c>
      <c r="AD14" s="128">
        <f t="shared" si="6"/>
        <v>35000</v>
      </c>
      <c r="AE14" s="141">
        <f t="shared" si="7"/>
        <v>7</v>
      </c>
      <c r="AF14" s="214">
        <f t="shared" si="8"/>
        <v>35000</v>
      </c>
      <c r="AG14" s="141">
        <f t="shared" si="9"/>
        <v>7</v>
      </c>
      <c r="AH14" s="128">
        <f t="shared" si="10"/>
        <v>35000</v>
      </c>
      <c r="AI14" s="143">
        <f t="shared" si="11"/>
        <v>7</v>
      </c>
      <c r="AJ14" s="144"/>
      <c r="AK14" s="222"/>
    </row>
    <row r="15" spans="1:37" ht="46.25" customHeight="1" thickBot="1" x14ac:dyDescent="0.35">
      <c r="A15" s="245">
        <v>7</v>
      </c>
      <c r="B15" s="135" t="s">
        <v>40</v>
      </c>
      <c r="C15" s="132" t="s">
        <v>45</v>
      </c>
      <c r="D15" s="132" t="s">
        <v>53</v>
      </c>
      <c r="E15" s="133" t="s">
        <v>69</v>
      </c>
      <c r="F15" s="134"/>
      <c r="G15" s="134"/>
      <c r="H15" s="134"/>
      <c r="I15" s="134"/>
      <c r="J15" s="135">
        <v>2.65</v>
      </c>
      <c r="K15" s="132" t="s">
        <v>82</v>
      </c>
      <c r="L15" s="136" t="s">
        <v>85</v>
      </c>
      <c r="M15" s="135">
        <f>1222+4111</f>
        <v>5333</v>
      </c>
      <c r="N15" s="135">
        <f>21.93+43.4</f>
        <v>65.33</v>
      </c>
      <c r="O15" s="137">
        <f t="shared" si="1"/>
        <v>6.87</v>
      </c>
      <c r="P15" s="125">
        <f t="shared" si="2"/>
        <v>560.80988825960503</v>
      </c>
      <c r="Q15" s="138"/>
      <c r="R15" s="139"/>
      <c r="S15" s="126">
        <v>5000</v>
      </c>
      <c r="T15" s="132"/>
      <c r="U15" s="127"/>
      <c r="V15" s="135"/>
      <c r="W15" s="200"/>
      <c r="X15" s="135"/>
      <c r="Y15" s="200"/>
      <c r="Z15" s="128">
        <f t="shared" si="3"/>
        <v>13250</v>
      </c>
      <c r="AA15" s="140">
        <f t="shared" si="0"/>
        <v>2.65</v>
      </c>
      <c r="AB15" s="128">
        <f t="shared" si="4"/>
        <v>13250</v>
      </c>
      <c r="AC15" s="140">
        <f t="shared" si="5"/>
        <v>2.65</v>
      </c>
      <c r="AD15" s="128">
        <f t="shared" si="6"/>
        <v>13250</v>
      </c>
      <c r="AE15" s="141">
        <f t="shared" si="7"/>
        <v>2.65</v>
      </c>
      <c r="AF15" s="214">
        <f t="shared" si="8"/>
        <v>13250</v>
      </c>
      <c r="AG15" s="141">
        <f t="shared" si="9"/>
        <v>2.65</v>
      </c>
      <c r="AH15" s="128">
        <f t="shared" si="10"/>
        <v>13250</v>
      </c>
      <c r="AI15" s="143">
        <f t="shared" si="11"/>
        <v>2.65</v>
      </c>
      <c r="AJ15" s="144"/>
      <c r="AK15" s="222"/>
    </row>
    <row r="16" spans="1:37" ht="46.25" customHeight="1" thickBot="1" x14ac:dyDescent="0.35">
      <c r="A16" s="130">
        <v>8</v>
      </c>
      <c r="B16" s="135" t="s">
        <v>41</v>
      </c>
      <c r="C16" s="132" t="s">
        <v>46</v>
      </c>
      <c r="D16" s="132" t="s">
        <v>54</v>
      </c>
      <c r="E16" s="133" t="s">
        <v>70</v>
      </c>
      <c r="F16" s="134"/>
      <c r="G16" s="134"/>
      <c r="H16" s="134"/>
      <c r="I16" s="134"/>
      <c r="J16" s="135">
        <v>2.7</v>
      </c>
      <c r="K16" s="132" t="s">
        <v>82</v>
      </c>
      <c r="L16" s="146" t="s">
        <v>8</v>
      </c>
      <c r="M16" s="135">
        <v>2049</v>
      </c>
      <c r="N16" s="135">
        <v>71.5</v>
      </c>
      <c r="O16" s="137">
        <f t="shared" si="1"/>
        <v>6.9700000000000006</v>
      </c>
      <c r="P16" s="125">
        <f t="shared" si="2"/>
        <v>199.74167832167834</v>
      </c>
      <c r="Q16" s="138"/>
      <c r="R16" s="139"/>
      <c r="S16" s="126">
        <v>5000</v>
      </c>
      <c r="T16" s="147"/>
      <c r="U16" s="127"/>
      <c r="V16" s="135"/>
      <c r="W16" s="200"/>
      <c r="X16" s="135"/>
      <c r="Y16" s="200"/>
      <c r="Z16" s="128">
        <f t="shared" si="3"/>
        <v>13500</v>
      </c>
      <c r="AA16" s="140">
        <f t="shared" si="0"/>
        <v>2.7</v>
      </c>
      <c r="AB16" s="128">
        <f t="shared" si="4"/>
        <v>13500</v>
      </c>
      <c r="AC16" s="140">
        <f t="shared" si="5"/>
        <v>2.7</v>
      </c>
      <c r="AD16" s="128">
        <f t="shared" si="6"/>
        <v>13500</v>
      </c>
      <c r="AE16" s="141">
        <f t="shared" si="7"/>
        <v>2.7</v>
      </c>
      <c r="AF16" s="214">
        <f t="shared" si="8"/>
        <v>13500</v>
      </c>
      <c r="AG16" s="141">
        <f t="shared" si="9"/>
        <v>2.7</v>
      </c>
      <c r="AH16" s="128">
        <f t="shared" si="10"/>
        <v>13500</v>
      </c>
      <c r="AI16" s="143">
        <f t="shared" si="11"/>
        <v>2.7</v>
      </c>
      <c r="AJ16" s="144"/>
      <c r="AK16" s="222"/>
    </row>
    <row r="17" spans="1:37" ht="46.25" customHeight="1" thickBot="1" x14ac:dyDescent="0.35">
      <c r="A17" s="145">
        <v>9</v>
      </c>
      <c r="B17" s="135" t="s">
        <v>41</v>
      </c>
      <c r="C17" s="132" t="s">
        <v>46</v>
      </c>
      <c r="D17" s="132" t="s">
        <v>55</v>
      </c>
      <c r="E17" s="133" t="s">
        <v>71</v>
      </c>
      <c r="F17" s="132"/>
      <c r="G17" s="132"/>
      <c r="H17" s="132"/>
      <c r="I17" s="132"/>
      <c r="J17" s="135">
        <v>2.7</v>
      </c>
      <c r="K17" s="132" t="s">
        <v>82</v>
      </c>
      <c r="L17" s="146" t="s">
        <v>8</v>
      </c>
      <c r="M17" s="135">
        <f>2049+2363</f>
        <v>4412</v>
      </c>
      <c r="N17" s="135">
        <f>71.5+56.75</f>
        <v>128.25</v>
      </c>
      <c r="O17" s="137">
        <f t="shared" si="1"/>
        <v>6.9700000000000006</v>
      </c>
      <c r="P17" s="125">
        <f t="shared" si="2"/>
        <v>239.7788693957115</v>
      </c>
      <c r="Q17" s="138"/>
      <c r="R17" s="139"/>
      <c r="S17" s="126">
        <v>5000</v>
      </c>
      <c r="T17" s="147"/>
      <c r="U17" s="127"/>
      <c r="V17" s="135"/>
      <c r="W17" s="200"/>
      <c r="X17" s="135"/>
      <c r="Y17" s="200"/>
      <c r="Z17" s="128">
        <f t="shared" si="3"/>
        <v>13500</v>
      </c>
      <c r="AA17" s="140">
        <f t="shared" si="0"/>
        <v>2.7</v>
      </c>
      <c r="AB17" s="128">
        <f t="shared" si="4"/>
        <v>13500</v>
      </c>
      <c r="AC17" s="140">
        <f t="shared" si="5"/>
        <v>2.7</v>
      </c>
      <c r="AD17" s="128">
        <f t="shared" si="6"/>
        <v>13500</v>
      </c>
      <c r="AE17" s="141">
        <f t="shared" si="7"/>
        <v>2.7</v>
      </c>
      <c r="AF17" s="214">
        <f t="shared" si="8"/>
        <v>13500</v>
      </c>
      <c r="AG17" s="141">
        <f t="shared" si="9"/>
        <v>2.7</v>
      </c>
      <c r="AH17" s="128">
        <f t="shared" si="10"/>
        <v>13500</v>
      </c>
      <c r="AI17" s="143">
        <f t="shared" si="11"/>
        <v>2.7</v>
      </c>
      <c r="AJ17" s="144"/>
      <c r="AK17" s="222"/>
    </row>
    <row r="18" spans="1:37" ht="46.25" customHeight="1" thickBot="1" x14ac:dyDescent="0.35">
      <c r="A18" s="245">
        <v>10</v>
      </c>
      <c r="B18" s="131" t="s">
        <v>41</v>
      </c>
      <c r="C18" s="132" t="s">
        <v>46</v>
      </c>
      <c r="D18" s="132" t="s">
        <v>55</v>
      </c>
      <c r="E18" s="148" t="s">
        <v>72</v>
      </c>
      <c r="F18" s="134"/>
      <c r="G18" s="134"/>
      <c r="H18" s="134"/>
      <c r="I18" s="134"/>
      <c r="J18" s="135">
        <v>2.2999999999999998</v>
      </c>
      <c r="K18" s="132" t="s">
        <v>82</v>
      </c>
      <c r="L18" s="146" t="s">
        <v>8</v>
      </c>
      <c r="M18" s="135">
        <f>2049+2363</f>
        <v>4412</v>
      </c>
      <c r="N18" s="135">
        <f>71.5+56.75</f>
        <v>128.25</v>
      </c>
      <c r="O18" s="137">
        <f t="shared" si="1"/>
        <v>6.17</v>
      </c>
      <c r="P18" s="125">
        <f t="shared" si="2"/>
        <v>212.25762183235867</v>
      </c>
      <c r="Q18" s="138"/>
      <c r="R18" s="139"/>
      <c r="S18" s="126">
        <v>5000</v>
      </c>
      <c r="T18" s="132"/>
      <c r="U18" s="127"/>
      <c r="V18" s="135"/>
      <c r="W18" s="200"/>
      <c r="X18" s="135"/>
      <c r="Y18" s="200"/>
      <c r="Z18" s="128">
        <f t="shared" si="3"/>
        <v>11500</v>
      </c>
      <c r="AA18" s="140">
        <f t="shared" si="0"/>
        <v>2.2999999999999998</v>
      </c>
      <c r="AB18" s="128">
        <f t="shared" si="4"/>
        <v>11500</v>
      </c>
      <c r="AC18" s="140">
        <f t="shared" si="5"/>
        <v>2.2999999999999998</v>
      </c>
      <c r="AD18" s="128">
        <f t="shared" si="6"/>
        <v>11500</v>
      </c>
      <c r="AE18" s="141">
        <f t="shared" si="7"/>
        <v>2.2999999999999998</v>
      </c>
      <c r="AF18" s="214">
        <f t="shared" si="8"/>
        <v>11500</v>
      </c>
      <c r="AG18" s="141">
        <f t="shared" si="9"/>
        <v>2.2999999999999998</v>
      </c>
      <c r="AH18" s="128">
        <f t="shared" si="10"/>
        <v>11500</v>
      </c>
      <c r="AI18" s="143">
        <f t="shared" si="11"/>
        <v>2.2999999999999998</v>
      </c>
      <c r="AJ18" s="144"/>
      <c r="AK18" s="222"/>
    </row>
    <row r="19" spans="1:37" ht="46.25" customHeight="1" thickBot="1" x14ac:dyDescent="0.35">
      <c r="A19" s="130">
        <v>11</v>
      </c>
      <c r="B19" s="135" t="s">
        <v>41</v>
      </c>
      <c r="C19" s="132" t="s">
        <v>46</v>
      </c>
      <c r="D19" s="132" t="s">
        <v>56</v>
      </c>
      <c r="E19" s="149" t="s">
        <v>73</v>
      </c>
      <c r="F19" s="132"/>
      <c r="G19" s="132"/>
      <c r="H19" s="132"/>
      <c r="I19" s="132"/>
      <c r="J19" s="135">
        <v>2</v>
      </c>
      <c r="K19" s="132" t="s">
        <v>82</v>
      </c>
      <c r="L19" s="146" t="s">
        <v>8</v>
      </c>
      <c r="M19" s="135">
        <v>2049</v>
      </c>
      <c r="N19" s="135">
        <v>71.5</v>
      </c>
      <c r="O19" s="137">
        <f t="shared" si="1"/>
        <v>5.57</v>
      </c>
      <c r="P19" s="125">
        <f t="shared" si="2"/>
        <v>159.6213986013986</v>
      </c>
      <c r="Q19" s="138"/>
      <c r="R19" s="139"/>
      <c r="S19" s="126">
        <v>5000</v>
      </c>
      <c r="T19" s="132"/>
      <c r="U19" s="127"/>
      <c r="V19" s="135"/>
      <c r="W19" s="200"/>
      <c r="X19" s="135"/>
      <c r="Y19" s="200"/>
      <c r="Z19" s="128">
        <f t="shared" si="3"/>
        <v>10000</v>
      </c>
      <c r="AA19" s="140">
        <f t="shared" si="0"/>
        <v>2</v>
      </c>
      <c r="AB19" s="128">
        <f t="shared" si="4"/>
        <v>10000</v>
      </c>
      <c r="AC19" s="140">
        <f t="shared" si="5"/>
        <v>2</v>
      </c>
      <c r="AD19" s="128">
        <f t="shared" si="6"/>
        <v>10000</v>
      </c>
      <c r="AE19" s="141">
        <f t="shared" si="7"/>
        <v>2</v>
      </c>
      <c r="AF19" s="214">
        <f t="shared" si="8"/>
        <v>10000</v>
      </c>
      <c r="AG19" s="141">
        <f t="shared" si="9"/>
        <v>2</v>
      </c>
      <c r="AH19" s="128">
        <f t="shared" si="10"/>
        <v>10000</v>
      </c>
      <c r="AI19" s="143">
        <f t="shared" si="11"/>
        <v>2</v>
      </c>
      <c r="AJ19" s="144"/>
      <c r="AK19" s="222"/>
    </row>
    <row r="20" spans="1:37" ht="46.25" customHeight="1" thickBot="1" x14ac:dyDescent="0.35">
      <c r="A20" s="145">
        <v>12</v>
      </c>
      <c r="B20" s="131" t="s">
        <v>42</v>
      </c>
      <c r="C20" s="132" t="s">
        <v>45</v>
      </c>
      <c r="D20" s="132" t="s">
        <v>58</v>
      </c>
      <c r="E20" s="150" t="s">
        <v>76</v>
      </c>
      <c r="F20" s="134"/>
      <c r="G20" s="151"/>
      <c r="H20" s="151"/>
      <c r="I20" s="151"/>
      <c r="J20" s="135">
        <v>2.7</v>
      </c>
      <c r="K20" s="132" t="s">
        <v>82</v>
      </c>
      <c r="L20" s="152" t="s">
        <v>25</v>
      </c>
      <c r="M20" s="124">
        <v>4111</v>
      </c>
      <c r="N20" s="135">
        <v>43.4</v>
      </c>
      <c r="O20" s="137">
        <f t="shared" si="1"/>
        <v>6.9700000000000006</v>
      </c>
      <c r="P20" s="125">
        <f t="shared" si="2"/>
        <v>660.22281105990794</v>
      </c>
      <c r="Q20" s="138"/>
      <c r="R20" s="139"/>
      <c r="S20" s="126">
        <v>5000</v>
      </c>
      <c r="T20" s="132"/>
      <c r="U20" s="132"/>
      <c r="V20" s="138"/>
      <c r="W20" s="132"/>
      <c r="X20" s="138"/>
      <c r="Y20" s="167"/>
      <c r="Z20" s="128">
        <f t="shared" si="3"/>
        <v>13500</v>
      </c>
      <c r="AA20" s="140">
        <f t="shared" si="0"/>
        <v>2.7</v>
      </c>
      <c r="AB20" s="128">
        <f t="shared" si="4"/>
        <v>13500</v>
      </c>
      <c r="AC20" s="140">
        <f t="shared" si="5"/>
        <v>2.7</v>
      </c>
      <c r="AD20" s="128">
        <f t="shared" si="6"/>
        <v>13500</v>
      </c>
      <c r="AE20" s="141">
        <f t="shared" si="7"/>
        <v>2.7</v>
      </c>
      <c r="AF20" s="214">
        <f t="shared" si="8"/>
        <v>13500</v>
      </c>
      <c r="AG20" s="141">
        <f t="shared" si="9"/>
        <v>2.7</v>
      </c>
      <c r="AH20" s="128">
        <f t="shared" si="10"/>
        <v>13500</v>
      </c>
      <c r="AI20" s="143">
        <f t="shared" si="11"/>
        <v>2.7</v>
      </c>
      <c r="AJ20" s="144"/>
      <c r="AK20" s="222"/>
    </row>
    <row r="21" spans="1:37" ht="46.25" customHeight="1" thickBot="1" x14ac:dyDescent="0.35">
      <c r="A21" s="245">
        <v>13</v>
      </c>
      <c r="B21" s="131" t="s">
        <v>42</v>
      </c>
      <c r="C21" s="132" t="s">
        <v>46</v>
      </c>
      <c r="D21" s="132" t="s">
        <v>59</v>
      </c>
      <c r="E21" s="150" t="s">
        <v>77</v>
      </c>
      <c r="F21" s="134"/>
      <c r="G21" s="134"/>
      <c r="H21" s="134"/>
      <c r="I21" s="134"/>
      <c r="J21" s="135">
        <v>1.7</v>
      </c>
      <c r="K21" s="132" t="s">
        <v>82</v>
      </c>
      <c r="L21" s="152" t="s">
        <v>25</v>
      </c>
      <c r="M21" s="124">
        <f>2049+2363</f>
        <v>4412</v>
      </c>
      <c r="N21" s="135">
        <f>71.5+56.75</f>
        <v>128.25</v>
      </c>
      <c r="O21" s="137">
        <f t="shared" si="1"/>
        <v>4.97</v>
      </c>
      <c r="P21" s="125">
        <f t="shared" si="2"/>
        <v>170.97575048732941</v>
      </c>
      <c r="Q21" s="138"/>
      <c r="R21" s="139"/>
      <c r="S21" s="126">
        <v>5000</v>
      </c>
      <c r="T21" s="132"/>
      <c r="U21" s="132"/>
      <c r="V21" s="138"/>
      <c r="W21" s="132"/>
      <c r="X21" s="138"/>
      <c r="Y21" s="167"/>
      <c r="Z21" s="128">
        <f t="shared" si="3"/>
        <v>8500</v>
      </c>
      <c r="AA21" s="140">
        <f t="shared" si="0"/>
        <v>1.7</v>
      </c>
      <c r="AB21" s="128">
        <f t="shared" si="4"/>
        <v>8500</v>
      </c>
      <c r="AC21" s="140">
        <f t="shared" si="5"/>
        <v>1.7</v>
      </c>
      <c r="AD21" s="128">
        <f t="shared" si="6"/>
        <v>8500</v>
      </c>
      <c r="AE21" s="141">
        <f t="shared" si="7"/>
        <v>1.7</v>
      </c>
      <c r="AF21" s="214">
        <f t="shared" si="8"/>
        <v>8500</v>
      </c>
      <c r="AG21" s="141">
        <f t="shared" si="9"/>
        <v>1.7</v>
      </c>
      <c r="AH21" s="128">
        <f t="shared" si="10"/>
        <v>8500</v>
      </c>
      <c r="AI21" s="143">
        <f t="shared" si="11"/>
        <v>1.7</v>
      </c>
      <c r="AJ21" s="144"/>
      <c r="AK21" s="222"/>
    </row>
    <row r="22" spans="1:37" ht="46.25" customHeight="1" thickBot="1" x14ac:dyDescent="0.35">
      <c r="A22" s="130">
        <v>14</v>
      </c>
      <c r="B22" s="131" t="s">
        <v>42</v>
      </c>
      <c r="C22" s="132" t="s">
        <v>46</v>
      </c>
      <c r="D22" s="132" t="s">
        <v>60</v>
      </c>
      <c r="E22" s="150" t="s">
        <v>78</v>
      </c>
      <c r="F22" s="134"/>
      <c r="G22" s="134"/>
      <c r="H22" s="134"/>
      <c r="I22" s="134"/>
      <c r="J22" s="135">
        <v>2</v>
      </c>
      <c r="K22" s="132" t="s">
        <v>82</v>
      </c>
      <c r="L22" s="152" t="s">
        <v>25</v>
      </c>
      <c r="M22" s="124">
        <f>2049+2363</f>
        <v>4412</v>
      </c>
      <c r="N22" s="135">
        <f>71.5+56.75</f>
        <v>128.25</v>
      </c>
      <c r="O22" s="137">
        <f t="shared" si="1"/>
        <v>5.57</v>
      </c>
      <c r="P22" s="125">
        <f t="shared" si="2"/>
        <v>191.61668615984405</v>
      </c>
      <c r="Q22" s="138"/>
      <c r="R22" s="139"/>
      <c r="S22" s="126">
        <v>5000</v>
      </c>
      <c r="T22" s="132"/>
      <c r="U22" s="132"/>
      <c r="V22" s="138"/>
      <c r="W22" s="132"/>
      <c r="X22" s="138"/>
      <c r="Y22" s="167"/>
      <c r="Z22" s="128">
        <f t="shared" si="3"/>
        <v>10000</v>
      </c>
      <c r="AA22" s="140">
        <f t="shared" si="0"/>
        <v>2</v>
      </c>
      <c r="AB22" s="128">
        <f t="shared" si="4"/>
        <v>10000</v>
      </c>
      <c r="AC22" s="140">
        <f t="shared" si="5"/>
        <v>2</v>
      </c>
      <c r="AD22" s="128">
        <f t="shared" si="6"/>
        <v>10000</v>
      </c>
      <c r="AE22" s="141">
        <f t="shared" si="7"/>
        <v>2</v>
      </c>
      <c r="AF22" s="214">
        <f t="shared" si="8"/>
        <v>10000</v>
      </c>
      <c r="AG22" s="141">
        <f t="shared" si="9"/>
        <v>2</v>
      </c>
      <c r="AH22" s="128">
        <f t="shared" si="10"/>
        <v>10000</v>
      </c>
      <c r="AI22" s="143">
        <f t="shared" si="11"/>
        <v>2</v>
      </c>
      <c r="AJ22" s="144"/>
      <c r="AK22" s="222"/>
    </row>
    <row r="23" spans="1:37" ht="46.25" customHeight="1" thickBot="1" x14ac:dyDescent="0.35">
      <c r="A23" s="145">
        <v>15</v>
      </c>
      <c r="B23" s="131" t="s">
        <v>42</v>
      </c>
      <c r="C23" s="132" t="s">
        <v>46</v>
      </c>
      <c r="D23" s="132" t="s">
        <v>61</v>
      </c>
      <c r="E23" s="150" t="s">
        <v>79</v>
      </c>
      <c r="F23" s="132"/>
      <c r="G23" s="132"/>
      <c r="H23" s="132"/>
      <c r="I23" s="132"/>
      <c r="J23" s="135">
        <v>2</v>
      </c>
      <c r="K23" s="132" t="s">
        <v>82</v>
      </c>
      <c r="L23" s="152" t="s">
        <v>25</v>
      </c>
      <c r="M23" s="124">
        <v>2049</v>
      </c>
      <c r="N23" s="135">
        <v>71.5</v>
      </c>
      <c r="O23" s="137">
        <f t="shared" si="1"/>
        <v>5.57</v>
      </c>
      <c r="P23" s="125">
        <f t="shared" si="2"/>
        <v>159.6213986013986</v>
      </c>
      <c r="Q23" s="138"/>
      <c r="R23" s="139"/>
      <c r="S23" s="126">
        <v>5000</v>
      </c>
      <c r="T23" s="132"/>
      <c r="U23" s="132"/>
      <c r="V23" s="138"/>
      <c r="W23" s="132"/>
      <c r="X23" s="138"/>
      <c r="Y23" s="167"/>
      <c r="Z23" s="128">
        <f t="shared" si="3"/>
        <v>10000</v>
      </c>
      <c r="AA23" s="140">
        <f t="shared" si="0"/>
        <v>2</v>
      </c>
      <c r="AB23" s="128">
        <f t="shared" si="4"/>
        <v>10000</v>
      </c>
      <c r="AC23" s="140">
        <f t="shared" si="5"/>
        <v>2</v>
      </c>
      <c r="AD23" s="128">
        <f t="shared" si="6"/>
        <v>10000</v>
      </c>
      <c r="AE23" s="141">
        <f t="shared" si="7"/>
        <v>2</v>
      </c>
      <c r="AF23" s="214">
        <f t="shared" si="8"/>
        <v>10000</v>
      </c>
      <c r="AG23" s="141">
        <f t="shared" si="9"/>
        <v>2</v>
      </c>
      <c r="AH23" s="128">
        <f t="shared" si="10"/>
        <v>10000</v>
      </c>
      <c r="AI23" s="143">
        <f t="shared" si="11"/>
        <v>2</v>
      </c>
      <c r="AJ23" s="144"/>
      <c r="AK23" s="222"/>
    </row>
    <row r="24" spans="1:37" ht="46.25" customHeight="1" thickBot="1" x14ac:dyDescent="0.35">
      <c r="A24" s="245">
        <v>16</v>
      </c>
      <c r="B24" s="131" t="s">
        <v>42</v>
      </c>
      <c r="C24" s="132" t="s">
        <v>46</v>
      </c>
      <c r="D24" s="132" t="s">
        <v>62</v>
      </c>
      <c r="E24" s="150" t="s">
        <v>80</v>
      </c>
      <c r="F24" s="134"/>
      <c r="G24" s="134"/>
      <c r="H24" s="134"/>
      <c r="I24" s="134"/>
      <c r="J24" s="135">
        <v>2</v>
      </c>
      <c r="K24" s="132" t="s">
        <v>82</v>
      </c>
      <c r="L24" s="152" t="s">
        <v>25</v>
      </c>
      <c r="M24" s="124">
        <v>2049</v>
      </c>
      <c r="N24" s="135">
        <v>71.5</v>
      </c>
      <c r="O24" s="137">
        <f t="shared" si="1"/>
        <v>5.57</v>
      </c>
      <c r="P24" s="125">
        <f t="shared" si="2"/>
        <v>159.6213986013986</v>
      </c>
      <c r="Q24" s="138"/>
      <c r="R24" s="139"/>
      <c r="S24" s="126">
        <v>5000</v>
      </c>
      <c r="T24" s="132"/>
      <c r="U24" s="132"/>
      <c r="V24" s="138"/>
      <c r="W24" s="132"/>
      <c r="X24" s="138"/>
      <c r="Y24" s="167"/>
      <c r="Z24" s="128">
        <f t="shared" si="3"/>
        <v>10000</v>
      </c>
      <c r="AA24" s="140">
        <f t="shared" si="0"/>
        <v>2</v>
      </c>
      <c r="AB24" s="128">
        <f t="shared" si="4"/>
        <v>10000</v>
      </c>
      <c r="AC24" s="140">
        <f t="shared" si="5"/>
        <v>2</v>
      </c>
      <c r="AD24" s="128">
        <f t="shared" si="6"/>
        <v>10000</v>
      </c>
      <c r="AE24" s="141">
        <f t="shared" si="7"/>
        <v>2</v>
      </c>
      <c r="AF24" s="214">
        <f t="shared" si="8"/>
        <v>10000</v>
      </c>
      <c r="AG24" s="141">
        <f t="shared" si="9"/>
        <v>2</v>
      </c>
      <c r="AH24" s="128">
        <f t="shared" si="10"/>
        <v>10000</v>
      </c>
      <c r="AI24" s="143">
        <f t="shared" si="11"/>
        <v>2</v>
      </c>
      <c r="AJ24" s="144"/>
      <c r="AK24" s="222"/>
    </row>
    <row r="25" spans="1:37" ht="46.25" customHeight="1" x14ac:dyDescent="0.3">
      <c r="A25" s="130">
        <v>17</v>
      </c>
      <c r="B25" s="131" t="s">
        <v>42</v>
      </c>
      <c r="C25" s="132" t="s">
        <v>46</v>
      </c>
      <c r="D25" s="132" t="s">
        <v>62</v>
      </c>
      <c r="E25" s="150" t="s">
        <v>81</v>
      </c>
      <c r="F25" s="132"/>
      <c r="G25" s="132"/>
      <c r="H25" s="132"/>
      <c r="I25" s="132"/>
      <c r="J25" s="135">
        <v>2.7</v>
      </c>
      <c r="K25" s="132" t="s">
        <v>82</v>
      </c>
      <c r="L25" s="152" t="s">
        <v>25</v>
      </c>
      <c r="M25" s="124">
        <v>2049</v>
      </c>
      <c r="N25" s="135">
        <v>71.5</v>
      </c>
      <c r="O25" s="137">
        <f t="shared" si="1"/>
        <v>6.9700000000000006</v>
      </c>
      <c r="P25" s="125">
        <f t="shared" si="2"/>
        <v>199.74167832167834</v>
      </c>
      <c r="Q25" s="138"/>
      <c r="R25" s="139"/>
      <c r="S25" s="126">
        <v>5000</v>
      </c>
      <c r="T25" s="132"/>
      <c r="U25" s="132"/>
      <c r="V25" s="138"/>
      <c r="W25" s="132"/>
      <c r="X25" s="138"/>
      <c r="Y25" s="167"/>
      <c r="Z25" s="128">
        <f t="shared" si="3"/>
        <v>13500</v>
      </c>
      <c r="AA25" s="140">
        <f t="shared" si="0"/>
        <v>2.7</v>
      </c>
      <c r="AB25" s="128">
        <f t="shared" si="4"/>
        <v>13500</v>
      </c>
      <c r="AC25" s="140">
        <f t="shared" si="5"/>
        <v>2.7</v>
      </c>
      <c r="AD25" s="128">
        <f t="shared" si="6"/>
        <v>13500</v>
      </c>
      <c r="AE25" s="141">
        <f t="shared" si="7"/>
        <v>2.7</v>
      </c>
      <c r="AF25" s="214">
        <f t="shared" si="8"/>
        <v>13500</v>
      </c>
      <c r="AG25" s="141">
        <f t="shared" si="9"/>
        <v>2.7</v>
      </c>
      <c r="AH25" s="128">
        <f t="shared" si="10"/>
        <v>13500</v>
      </c>
      <c r="AI25" s="143">
        <f t="shared" si="11"/>
        <v>2.7</v>
      </c>
      <c r="AJ25" s="144"/>
      <c r="AK25" s="222"/>
    </row>
    <row r="26" spans="1:37" ht="18" customHeight="1" x14ac:dyDescent="0.3">
      <c r="A26" s="153"/>
      <c r="B26" s="154"/>
      <c r="C26" s="155"/>
      <c r="D26" s="155"/>
      <c r="E26" s="155"/>
      <c r="F26" s="155"/>
      <c r="G26" s="155"/>
      <c r="H26" s="155"/>
      <c r="I26" s="155"/>
      <c r="J26" s="156"/>
      <c r="K26" s="155"/>
      <c r="L26" s="157"/>
      <c r="M26" s="158"/>
      <c r="N26" s="158"/>
      <c r="O26" s="158"/>
      <c r="P26" s="159"/>
      <c r="Q26" s="160"/>
      <c r="R26" s="161"/>
      <c r="S26" s="162"/>
      <c r="T26" s="155"/>
      <c r="U26" s="155"/>
      <c r="V26" s="156"/>
      <c r="W26" s="155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8"/>
      <c r="AJ26" s="163"/>
      <c r="AK26" s="223"/>
    </row>
    <row r="27" spans="1:37" ht="48.65" customHeight="1" x14ac:dyDescent="0.3">
      <c r="A27" s="145">
        <v>1</v>
      </c>
      <c r="B27" s="131" t="s">
        <v>35</v>
      </c>
      <c r="C27" s="132" t="s">
        <v>43</v>
      </c>
      <c r="D27" s="132" t="s">
        <v>120</v>
      </c>
      <c r="E27" s="150" t="s">
        <v>129</v>
      </c>
      <c r="F27" s="164">
        <v>126.799249</v>
      </c>
      <c r="G27" s="164">
        <v>-8.5845210000000005</v>
      </c>
      <c r="H27" s="164">
        <v>126.84336500000001</v>
      </c>
      <c r="I27" s="164">
        <v>-8.5632079999999995</v>
      </c>
      <c r="J27" s="135">
        <v>8</v>
      </c>
      <c r="K27" s="133" t="s">
        <v>23</v>
      </c>
      <c r="L27" s="146" t="s">
        <v>8</v>
      </c>
      <c r="M27" s="135">
        <f>1819+3376</f>
        <v>5195</v>
      </c>
      <c r="N27" s="135">
        <f>23.18+22.95</f>
        <v>46.129999999999995</v>
      </c>
      <c r="O27" s="132">
        <f t="shared" ref="O27:O48" si="12">(J27*2)+$O$2</f>
        <v>17.57</v>
      </c>
      <c r="P27" s="125">
        <f t="shared" ref="P27:P48" si="13">(M27/N27)*O27</f>
        <v>1978.6722306525041</v>
      </c>
      <c r="Q27" s="165">
        <f>(P27*R27)/S27</f>
        <v>0.19187124660872767</v>
      </c>
      <c r="R27" s="139">
        <v>20</v>
      </c>
      <c r="S27" s="139">
        <v>206250</v>
      </c>
      <c r="T27" s="350">
        <f>Z27+AB27+AD27+AF27+AH27</f>
        <v>1650000</v>
      </c>
      <c r="U27" s="166">
        <v>1</v>
      </c>
      <c r="V27" s="138"/>
      <c r="W27" s="167"/>
      <c r="X27" s="135"/>
      <c r="Y27" s="167"/>
      <c r="Z27" s="168">
        <f>S27*AA27</f>
        <v>330000</v>
      </c>
      <c r="AA27" s="169">
        <v>1.6</v>
      </c>
      <c r="AB27" s="170">
        <f t="shared" ref="AB27" si="14">S27*AC27</f>
        <v>330000</v>
      </c>
      <c r="AC27" s="171">
        <f>AA27</f>
        <v>1.6</v>
      </c>
      <c r="AD27" s="168">
        <f>S27*AE27</f>
        <v>330000</v>
      </c>
      <c r="AE27" s="172">
        <f>AC27</f>
        <v>1.6</v>
      </c>
      <c r="AF27" s="168">
        <f>S27*AG27</f>
        <v>330000</v>
      </c>
      <c r="AG27" s="172">
        <v>1.6</v>
      </c>
      <c r="AH27" s="262">
        <f>S27*AI27</f>
        <v>330000</v>
      </c>
      <c r="AI27" s="183">
        <v>1.6</v>
      </c>
      <c r="AJ27" s="144"/>
      <c r="AK27" s="222"/>
    </row>
    <row r="28" spans="1:37" ht="48.65" customHeight="1" x14ac:dyDescent="0.3">
      <c r="A28" s="145">
        <v>2</v>
      </c>
      <c r="B28" s="131" t="s">
        <v>92</v>
      </c>
      <c r="C28" s="132" t="s">
        <v>44</v>
      </c>
      <c r="D28" s="132" t="s">
        <v>122</v>
      </c>
      <c r="E28" s="150" t="s">
        <v>118</v>
      </c>
      <c r="F28" s="175">
        <v>126.83092600000001</v>
      </c>
      <c r="G28" s="175">
        <v>-8.4245789999999996</v>
      </c>
      <c r="H28" s="175">
        <v>126.888716</v>
      </c>
      <c r="I28" s="175">
        <v>-8.4564819999999994</v>
      </c>
      <c r="J28" s="135">
        <v>7.9</v>
      </c>
      <c r="K28" s="176" t="s">
        <v>145</v>
      </c>
      <c r="L28" s="146" t="s">
        <v>8</v>
      </c>
      <c r="M28" s="135">
        <f>1603+1728</f>
        <v>3331</v>
      </c>
      <c r="N28" s="177">
        <f>45.26+38.23</f>
        <v>83.49</v>
      </c>
      <c r="O28" s="132">
        <f t="shared" si="12"/>
        <v>17.37</v>
      </c>
      <c r="P28" s="125">
        <f t="shared" si="13"/>
        <v>693.01077973409997</v>
      </c>
      <c r="Q28" s="165">
        <f t="shared" ref="Q28:Q48" si="15">(P28*R28)/S28</f>
        <v>6.0480940776794175E-2</v>
      </c>
      <c r="R28" s="139">
        <v>18</v>
      </c>
      <c r="S28" s="139">
        <v>206250</v>
      </c>
      <c r="T28" s="351">
        <f>AB28+AD28+AF28+AH28</f>
        <v>1320000</v>
      </c>
      <c r="U28" s="166">
        <v>2</v>
      </c>
      <c r="V28" s="138"/>
      <c r="W28" s="167"/>
      <c r="X28" s="135"/>
      <c r="Y28" s="167"/>
      <c r="Z28" s="253"/>
      <c r="AA28" s="254"/>
      <c r="AB28" s="172">
        <f>S32*AC28</f>
        <v>330000</v>
      </c>
      <c r="AC28" s="169">
        <v>1.2</v>
      </c>
      <c r="AD28" s="168">
        <f>S32*AE28</f>
        <v>330000</v>
      </c>
      <c r="AE28" s="172">
        <f>AC28</f>
        <v>1.2</v>
      </c>
      <c r="AF28" s="168">
        <f>S32*AG28</f>
        <v>330000</v>
      </c>
      <c r="AG28" s="172">
        <f>AE28</f>
        <v>1.2</v>
      </c>
      <c r="AH28" s="262">
        <f>S32*AI28</f>
        <v>330000</v>
      </c>
      <c r="AI28" s="255">
        <v>1.2</v>
      </c>
      <c r="AJ28" s="144"/>
      <c r="AK28" s="222"/>
    </row>
    <row r="29" spans="1:37" ht="48.65" customHeight="1" x14ac:dyDescent="0.3">
      <c r="A29" s="145">
        <v>3</v>
      </c>
      <c r="B29" s="131" t="s">
        <v>86</v>
      </c>
      <c r="C29" s="132" t="s">
        <v>43</v>
      </c>
      <c r="D29" s="132" t="s">
        <v>130</v>
      </c>
      <c r="E29" s="150" t="s">
        <v>109</v>
      </c>
      <c r="F29" s="175">
        <v>126.826787</v>
      </c>
      <c r="G29" s="175">
        <v>-8.5382250000000006</v>
      </c>
      <c r="H29" s="175">
        <v>126.779279</v>
      </c>
      <c r="I29" s="175">
        <v>-8.5248629999999999</v>
      </c>
      <c r="J29" s="135">
        <v>4.75</v>
      </c>
      <c r="K29" s="133" t="s">
        <v>23</v>
      </c>
      <c r="L29" s="146" t="s">
        <v>8</v>
      </c>
      <c r="M29" s="135">
        <f>952+1662</f>
        <v>2614</v>
      </c>
      <c r="N29" s="135">
        <f>11.38+16.37</f>
        <v>27.75</v>
      </c>
      <c r="O29" s="132">
        <f t="shared" si="12"/>
        <v>11.07</v>
      </c>
      <c r="P29" s="125">
        <f t="shared" si="13"/>
        <v>1042.774054054054</v>
      </c>
      <c r="Q29" s="165">
        <f t="shared" si="15"/>
        <v>0.10111748402948403</v>
      </c>
      <c r="R29" s="139">
        <v>20</v>
      </c>
      <c r="S29" s="139">
        <v>206250</v>
      </c>
      <c r="T29" s="132"/>
      <c r="U29" s="166">
        <v>3</v>
      </c>
      <c r="V29" s="138"/>
      <c r="W29" s="167"/>
      <c r="X29" s="135"/>
      <c r="Y29" s="167"/>
      <c r="Z29" s="253"/>
      <c r="AA29" s="254"/>
      <c r="AB29" s="256"/>
      <c r="AC29" s="200"/>
      <c r="AD29" s="173">
        <f>5000*AE29</f>
        <v>23750</v>
      </c>
      <c r="AE29" s="280">
        <v>4.75</v>
      </c>
      <c r="AF29" s="173">
        <f>5000*AG29</f>
        <v>23750</v>
      </c>
      <c r="AG29" s="280">
        <v>4.75</v>
      </c>
      <c r="AH29" s="174">
        <f t="shared" ref="AH29:AH33" si="16">5000*AI29</f>
        <v>23750</v>
      </c>
      <c r="AI29" s="281">
        <v>4.75</v>
      </c>
      <c r="AJ29" s="144"/>
      <c r="AK29" s="222"/>
    </row>
    <row r="30" spans="1:37" ht="48.65" customHeight="1" x14ac:dyDescent="0.3">
      <c r="A30" s="145">
        <v>4</v>
      </c>
      <c r="B30" s="131" t="s">
        <v>42</v>
      </c>
      <c r="C30" s="132" t="s">
        <v>45</v>
      </c>
      <c r="D30" s="132" t="s">
        <v>127</v>
      </c>
      <c r="E30" s="133" t="s">
        <v>106</v>
      </c>
      <c r="F30" s="175">
        <v>127.01532400000001</v>
      </c>
      <c r="G30" s="175">
        <v>-8.4430669999999992</v>
      </c>
      <c r="H30" s="175">
        <v>127.03996600000001</v>
      </c>
      <c r="I30" s="175">
        <v>-8.4615939999999998</v>
      </c>
      <c r="J30" s="135">
        <v>4.2</v>
      </c>
      <c r="K30" s="133" t="s">
        <v>23</v>
      </c>
      <c r="L30" s="146" t="s">
        <v>8</v>
      </c>
      <c r="M30" s="135">
        <v>3754</v>
      </c>
      <c r="N30" s="135">
        <v>99.33</v>
      </c>
      <c r="O30" s="132">
        <f t="shared" si="12"/>
        <v>9.9700000000000006</v>
      </c>
      <c r="P30" s="125">
        <f t="shared" si="13"/>
        <v>376.79834893788387</v>
      </c>
      <c r="Q30" s="165">
        <f t="shared" si="15"/>
        <v>4.8230188664049135E-2</v>
      </c>
      <c r="R30" s="139">
        <v>20</v>
      </c>
      <c r="S30" s="139">
        <v>156250</v>
      </c>
      <c r="T30" s="132"/>
      <c r="U30" s="166">
        <v>4</v>
      </c>
      <c r="V30" s="138"/>
      <c r="W30" s="132"/>
      <c r="X30" s="138"/>
      <c r="Y30" s="132"/>
      <c r="Z30" s="253"/>
      <c r="AA30" s="254"/>
      <c r="AB30" s="256"/>
      <c r="AC30" s="200"/>
      <c r="AD30" s="173">
        <f>5000*AE30</f>
        <v>21000</v>
      </c>
      <c r="AE30" s="141">
        <v>4.2</v>
      </c>
      <c r="AF30" s="173">
        <f>5000*AG30</f>
        <v>21000</v>
      </c>
      <c r="AG30" s="141">
        <v>4.2</v>
      </c>
      <c r="AH30" s="174">
        <f t="shared" si="16"/>
        <v>21000</v>
      </c>
      <c r="AI30" s="143">
        <v>4.2</v>
      </c>
      <c r="AJ30" s="144"/>
      <c r="AK30" s="222"/>
    </row>
    <row r="31" spans="1:37" ht="48.65" customHeight="1" x14ac:dyDescent="0.3">
      <c r="A31" s="145">
        <v>5</v>
      </c>
      <c r="B31" s="131" t="s">
        <v>42</v>
      </c>
      <c r="C31" s="132" t="s">
        <v>46</v>
      </c>
      <c r="D31" s="132" t="s">
        <v>125</v>
      </c>
      <c r="E31" s="133" t="s">
        <v>103</v>
      </c>
      <c r="F31" s="175">
        <v>126.85367100000001</v>
      </c>
      <c r="G31" s="175">
        <v>-8.7392339999999997</v>
      </c>
      <c r="H31" s="175">
        <v>126.860315</v>
      </c>
      <c r="I31" s="175">
        <v>-8.7382530000000003</v>
      </c>
      <c r="J31" s="135">
        <v>8.5</v>
      </c>
      <c r="K31" s="133" t="s">
        <v>84</v>
      </c>
      <c r="L31" s="146" t="s">
        <v>8</v>
      </c>
      <c r="M31" s="135">
        <v>2707</v>
      </c>
      <c r="N31" s="135">
        <v>52.84</v>
      </c>
      <c r="O31" s="132">
        <f t="shared" si="12"/>
        <v>18.57</v>
      </c>
      <c r="P31" s="125">
        <f t="shared" si="13"/>
        <v>951.34348978046933</v>
      </c>
      <c r="Q31" s="165">
        <f t="shared" si="15"/>
        <v>6.9188617438579583E-2</v>
      </c>
      <c r="R31" s="139">
        <v>15</v>
      </c>
      <c r="S31" s="139">
        <v>206250</v>
      </c>
      <c r="T31" s="132"/>
      <c r="U31" s="166">
        <v>5</v>
      </c>
      <c r="V31" s="138"/>
      <c r="W31" s="132"/>
      <c r="X31" s="138"/>
      <c r="Y31" s="132"/>
      <c r="Z31" s="253"/>
      <c r="AA31" s="254"/>
      <c r="AB31" s="256"/>
      <c r="AC31" s="200"/>
      <c r="AD31" s="253"/>
      <c r="AE31" s="138"/>
      <c r="AF31" s="253"/>
      <c r="AG31" s="138"/>
      <c r="AH31" s="181"/>
      <c r="AI31" s="260"/>
      <c r="AJ31" s="144"/>
      <c r="AK31" s="222"/>
    </row>
    <row r="32" spans="1:37" ht="48.65" customHeight="1" x14ac:dyDescent="0.3">
      <c r="A32" s="145">
        <v>6</v>
      </c>
      <c r="B32" s="131" t="s">
        <v>42</v>
      </c>
      <c r="C32" s="132" t="s">
        <v>44</v>
      </c>
      <c r="D32" s="132" t="s">
        <v>131</v>
      </c>
      <c r="E32" s="150" t="s">
        <v>110</v>
      </c>
      <c r="F32" s="175">
        <v>126.976018</v>
      </c>
      <c r="G32" s="175">
        <v>-8.3452190000000002</v>
      </c>
      <c r="H32" s="175">
        <v>127.022965</v>
      </c>
      <c r="I32" s="175">
        <v>-8.3686530000000001</v>
      </c>
      <c r="J32" s="135">
        <v>7.5</v>
      </c>
      <c r="K32" s="133" t="s">
        <v>146</v>
      </c>
      <c r="L32" s="146" t="s">
        <v>8</v>
      </c>
      <c r="M32" s="135">
        <f>3709+3345</f>
        <v>7054</v>
      </c>
      <c r="N32" s="135">
        <f>59.77+82.14</f>
        <v>141.91</v>
      </c>
      <c r="O32" s="132">
        <f t="shared" si="12"/>
        <v>16.57</v>
      </c>
      <c r="P32" s="125">
        <f t="shared" si="13"/>
        <v>823.6542879289691</v>
      </c>
      <c r="Q32" s="165">
        <f t="shared" si="15"/>
        <v>4.4926597523398309E-2</v>
      </c>
      <c r="R32" s="139">
        <v>15</v>
      </c>
      <c r="S32" s="139">
        <v>275000</v>
      </c>
      <c r="T32" s="132"/>
      <c r="U32" s="166">
        <v>6</v>
      </c>
      <c r="V32" s="138"/>
      <c r="W32" s="132"/>
      <c r="X32" s="138"/>
      <c r="Y32" s="132"/>
      <c r="Z32" s="138"/>
      <c r="AA32" s="132"/>
      <c r="AB32" s="264"/>
      <c r="AC32" s="264"/>
      <c r="AD32" s="264"/>
      <c r="AE32" s="264"/>
      <c r="AF32" s="264"/>
      <c r="AG32" s="264"/>
      <c r="AH32" s="264"/>
      <c r="AI32" s="264"/>
      <c r="AJ32" s="144"/>
      <c r="AK32" s="222"/>
    </row>
    <row r="33" spans="1:37" ht="48.65" customHeight="1" x14ac:dyDescent="0.3">
      <c r="A33" s="145">
        <v>7</v>
      </c>
      <c r="B33" s="131" t="s">
        <v>42</v>
      </c>
      <c r="C33" s="179" t="s">
        <v>95</v>
      </c>
      <c r="D33" s="179" t="s">
        <v>141</v>
      </c>
      <c r="E33" s="179" t="s">
        <v>140</v>
      </c>
      <c r="F33" s="175">
        <v>127.00926</v>
      </c>
      <c r="G33" s="175">
        <v>-8.6153080000000006</v>
      </c>
      <c r="H33" s="175">
        <v>127.007327</v>
      </c>
      <c r="I33" s="175">
        <v>-8.6199340000000007</v>
      </c>
      <c r="J33" s="166">
        <v>1.5</v>
      </c>
      <c r="K33" s="179" t="s">
        <v>23</v>
      </c>
      <c r="L33" s="180" t="s">
        <v>8</v>
      </c>
      <c r="M33" s="135">
        <f>3708+1655</f>
        <v>5363</v>
      </c>
      <c r="N33" s="135">
        <f>133.77+23.89</f>
        <v>157.66000000000003</v>
      </c>
      <c r="O33" s="132">
        <f t="shared" si="12"/>
        <v>4.57</v>
      </c>
      <c r="P33" s="125">
        <f t="shared" si="13"/>
        <v>155.45420525180768</v>
      </c>
      <c r="Q33" s="165">
        <f t="shared" si="15"/>
        <v>1.5074347175932866E-2</v>
      </c>
      <c r="R33" s="132">
        <v>20</v>
      </c>
      <c r="S33" s="181">
        <v>206250</v>
      </c>
      <c r="T33" s="350">
        <f>Z33</f>
        <v>309375</v>
      </c>
      <c r="U33" s="166">
        <v>7</v>
      </c>
      <c r="V33" s="132"/>
      <c r="W33" s="132"/>
      <c r="X33" s="132"/>
      <c r="Y33" s="132"/>
      <c r="Z33" s="257">
        <f>S33*AA33</f>
        <v>309375</v>
      </c>
      <c r="AA33" s="255">
        <v>1.5</v>
      </c>
      <c r="AB33" s="141">
        <f>5000*AC33</f>
        <v>7500</v>
      </c>
      <c r="AC33" s="258">
        <v>1.5</v>
      </c>
      <c r="AD33" s="173">
        <f>5000*AE33</f>
        <v>7500</v>
      </c>
      <c r="AE33" s="141">
        <v>1.5</v>
      </c>
      <c r="AF33" s="173">
        <f>5000*AG33</f>
        <v>7500</v>
      </c>
      <c r="AG33" s="143">
        <v>1.5</v>
      </c>
      <c r="AH33" s="174">
        <f t="shared" si="16"/>
        <v>7500</v>
      </c>
      <c r="AI33" s="182">
        <v>1.5</v>
      </c>
      <c r="AJ33" s="144"/>
      <c r="AK33" s="222"/>
    </row>
    <row r="34" spans="1:37" ht="48.65" customHeight="1" x14ac:dyDescent="0.3">
      <c r="A34" s="145">
        <v>8</v>
      </c>
      <c r="B34" s="131" t="s">
        <v>90</v>
      </c>
      <c r="C34" s="132" t="s">
        <v>44</v>
      </c>
      <c r="D34" s="132" t="s">
        <v>121</v>
      </c>
      <c r="E34" s="150" t="s">
        <v>115</v>
      </c>
      <c r="F34" s="175">
        <v>126.93129999999999</v>
      </c>
      <c r="G34" s="175">
        <v>-8.3599370000000004</v>
      </c>
      <c r="H34" s="175">
        <v>126.976018</v>
      </c>
      <c r="I34" s="175">
        <v>-8.3452190000000002</v>
      </c>
      <c r="J34" s="135">
        <v>7.9</v>
      </c>
      <c r="K34" s="133" t="s">
        <v>24</v>
      </c>
      <c r="L34" s="146" t="s">
        <v>8</v>
      </c>
      <c r="M34" s="135">
        <v>3345</v>
      </c>
      <c r="N34" s="135">
        <v>82.14</v>
      </c>
      <c r="O34" s="132">
        <f t="shared" si="12"/>
        <v>17.37</v>
      </c>
      <c r="P34" s="125">
        <f t="shared" si="13"/>
        <v>707.36121256391527</v>
      </c>
      <c r="Q34" s="165">
        <f t="shared" si="15"/>
        <v>3.4296301215220135E-2</v>
      </c>
      <c r="R34" s="139">
        <v>10</v>
      </c>
      <c r="S34" s="139">
        <v>206250</v>
      </c>
      <c r="T34" s="132"/>
      <c r="U34" s="166">
        <v>8</v>
      </c>
      <c r="V34" s="138"/>
      <c r="W34" s="132"/>
      <c r="X34" s="138"/>
      <c r="Y34" s="167"/>
      <c r="Z34" s="135"/>
      <c r="AA34" s="167"/>
      <c r="AB34" s="138"/>
      <c r="AC34" s="254"/>
      <c r="AD34" s="253"/>
      <c r="AE34" s="138"/>
      <c r="AF34" s="253"/>
      <c r="AG34" s="260"/>
      <c r="AH34" s="181"/>
      <c r="AI34" s="261"/>
      <c r="AJ34" s="144"/>
      <c r="AK34" s="222"/>
    </row>
    <row r="35" spans="1:37" ht="48.65" customHeight="1" x14ac:dyDescent="0.3">
      <c r="A35" s="145">
        <v>9</v>
      </c>
      <c r="B35" s="135" t="s">
        <v>42</v>
      </c>
      <c r="C35" s="132" t="s">
        <v>44</v>
      </c>
      <c r="D35" s="132" t="s">
        <v>126</v>
      </c>
      <c r="E35" s="133" t="s">
        <v>105</v>
      </c>
      <c r="F35" s="166">
        <v>126.882902</v>
      </c>
      <c r="G35" s="166">
        <v>-8.4679020000000005</v>
      </c>
      <c r="H35" s="166">
        <v>126.885096</v>
      </c>
      <c r="I35" s="166">
        <v>-8.4903739999999992</v>
      </c>
      <c r="J35" s="135">
        <v>3.5</v>
      </c>
      <c r="K35" s="133" t="s">
        <v>84</v>
      </c>
      <c r="L35" s="146" t="s">
        <v>8</v>
      </c>
      <c r="M35" s="135">
        <v>2515</v>
      </c>
      <c r="N35" s="135">
        <v>61.27</v>
      </c>
      <c r="O35" s="132">
        <f t="shared" si="12"/>
        <v>8.57</v>
      </c>
      <c r="P35" s="125">
        <f t="shared" si="13"/>
        <v>351.77982699526689</v>
      </c>
      <c r="Q35" s="165">
        <f t="shared" si="15"/>
        <v>2.558398741783759E-2</v>
      </c>
      <c r="R35" s="139">
        <v>15</v>
      </c>
      <c r="S35" s="139">
        <v>206250</v>
      </c>
      <c r="T35" s="132"/>
      <c r="U35" s="166">
        <v>9</v>
      </c>
      <c r="V35" s="138"/>
      <c r="W35" s="132"/>
      <c r="X35" s="138"/>
      <c r="Y35" s="167"/>
      <c r="Z35" s="135"/>
      <c r="AA35" s="167"/>
      <c r="AB35" s="138"/>
      <c r="AC35" s="254"/>
      <c r="AD35" s="253"/>
      <c r="AE35" s="138"/>
      <c r="AF35" s="253"/>
      <c r="AG35" s="260"/>
      <c r="AH35" s="181"/>
      <c r="AI35" s="261"/>
      <c r="AJ35" s="144"/>
      <c r="AK35" s="222"/>
    </row>
    <row r="36" spans="1:37" ht="48.65" customHeight="1" x14ac:dyDescent="0.3">
      <c r="A36" s="145">
        <v>10</v>
      </c>
      <c r="B36" s="131" t="s">
        <v>89</v>
      </c>
      <c r="C36" s="132" t="s">
        <v>44</v>
      </c>
      <c r="D36" s="132" t="s">
        <v>134</v>
      </c>
      <c r="E36" s="133" t="s">
        <v>114</v>
      </c>
      <c r="F36" s="166">
        <v>126.911095</v>
      </c>
      <c r="G36" s="166">
        <v>-8.4023389999999996</v>
      </c>
      <c r="H36" s="175">
        <v>126.93129999999999</v>
      </c>
      <c r="I36" s="175">
        <v>-8.3599370000000004</v>
      </c>
      <c r="J36" s="135">
        <v>5.7</v>
      </c>
      <c r="K36" s="133" t="s">
        <v>24</v>
      </c>
      <c r="L36" s="146" t="s">
        <v>8</v>
      </c>
      <c r="M36" s="135">
        <f>2124+3345</f>
        <v>5469</v>
      </c>
      <c r="N36" s="135">
        <f>20.62+82.14</f>
        <v>102.76</v>
      </c>
      <c r="O36" s="132">
        <f t="shared" si="12"/>
        <v>12.97</v>
      </c>
      <c r="P36" s="125">
        <f t="shared" si="13"/>
        <v>690.27763721292331</v>
      </c>
      <c r="Q36" s="165">
        <f t="shared" si="15"/>
        <v>3.3468006652747795E-2</v>
      </c>
      <c r="R36" s="139">
        <v>10</v>
      </c>
      <c r="S36" s="139">
        <v>206250</v>
      </c>
      <c r="T36" s="132"/>
      <c r="U36" s="166">
        <v>10</v>
      </c>
      <c r="V36" s="138"/>
      <c r="W36" s="132"/>
      <c r="X36" s="138"/>
      <c r="Y36" s="132"/>
      <c r="Z36" s="138"/>
      <c r="AA36" s="132"/>
      <c r="AB36" s="138"/>
      <c r="AC36" s="254"/>
      <c r="AD36" s="253"/>
      <c r="AE36" s="138"/>
      <c r="AF36" s="253"/>
      <c r="AG36" s="260"/>
      <c r="AH36" s="181"/>
      <c r="AI36" s="261"/>
      <c r="AJ36" s="144"/>
      <c r="AK36" s="222"/>
    </row>
    <row r="37" spans="1:37" ht="48.65" customHeight="1" x14ac:dyDescent="0.3">
      <c r="A37" s="145">
        <v>11</v>
      </c>
      <c r="B37" s="135" t="s">
        <v>93</v>
      </c>
      <c r="C37" s="132" t="s">
        <v>45</v>
      </c>
      <c r="D37" s="132" t="s">
        <v>58</v>
      </c>
      <c r="E37" s="133" t="s">
        <v>96</v>
      </c>
      <c r="F37" s="164">
        <v>126.951606</v>
      </c>
      <c r="G37" s="164">
        <v>-8.5208480000000009</v>
      </c>
      <c r="H37" s="164">
        <v>126.952022</v>
      </c>
      <c r="I37" s="164">
        <v>-8.5286249999999999</v>
      </c>
      <c r="J37" s="135">
        <v>1</v>
      </c>
      <c r="K37" s="133" t="s">
        <v>23</v>
      </c>
      <c r="L37" s="146" t="s">
        <v>8</v>
      </c>
      <c r="M37" s="135">
        <v>4111</v>
      </c>
      <c r="N37" s="135">
        <v>43.4</v>
      </c>
      <c r="O37" s="132">
        <f t="shared" si="12"/>
        <v>3.5700000000000003</v>
      </c>
      <c r="P37" s="125">
        <f t="shared" si="13"/>
        <v>338.16290322580653</v>
      </c>
      <c r="Q37" s="165">
        <f t="shared" si="15"/>
        <v>4.3284851612903234E-2</v>
      </c>
      <c r="R37" s="139">
        <v>20</v>
      </c>
      <c r="S37" s="139">
        <v>156250</v>
      </c>
      <c r="T37" s="132"/>
      <c r="U37" s="166">
        <v>11</v>
      </c>
      <c r="V37" s="138"/>
      <c r="W37" s="132"/>
      <c r="X37" s="138"/>
      <c r="Y37" s="167"/>
      <c r="Z37" s="135"/>
      <c r="AA37" s="167"/>
      <c r="AB37" s="135"/>
      <c r="AC37" s="167"/>
      <c r="AD37" s="253"/>
      <c r="AE37" s="138"/>
      <c r="AF37" s="253"/>
      <c r="AG37" s="138"/>
      <c r="AH37" s="181"/>
      <c r="AI37" s="261"/>
      <c r="AJ37" s="144"/>
      <c r="AK37" s="222"/>
    </row>
    <row r="38" spans="1:37" ht="48.65" customHeight="1" x14ac:dyDescent="0.3">
      <c r="A38" s="145">
        <v>12</v>
      </c>
      <c r="B38" s="131" t="s">
        <v>39</v>
      </c>
      <c r="C38" s="132" t="s">
        <v>45</v>
      </c>
      <c r="D38" s="132" t="s">
        <v>57</v>
      </c>
      <c r="E38" s="150" t="s">
        <v>74</v>
      </c>
      <c r="F38" s="175">
        <v>127.06660100000001</v>
      </c>
      <c r="G38" s="175">
        <v>-8.5178139999999996</v>
      </c>
      <c r="H38" s="175">
        <v>127.08969</v>
      </c>
      <c r="I38" s="175">
        <v>-8.5144680000000008</v>
      </c>
      <c r="J38" s="135">
        <v>3</v>
      </c>
      <c r="K38" s="132" t="s">
        <v>84</v>
      </c>
      <c r="L38" s="146" t="s">
        <v>8</v>
      </c>
      <c r="M38" s="135">
        <v>2785</v>
      </c>
      <c r="N38" s="135">
        <v>76.28</v>
      </c>
      <c r="O38" s="132">
        <f t="shared" si="12"/>
        <v>7.57</v>
      </c>
      <c r="P38" s="125">
        <f t="shared" si="13"/>
        <v>276.38240692186679</v>
      </c>
      <c r="Q38" s="165">
        <f t="shared" si="15"/>
        <v>2.6532711064499209E-2</v>
      </c>
      <c r="R38" s="139">
        <v>15</v>
      </c>
      <c r="S38" s="139">
        <v>156250</v>
      </c>
      <c r="T38" s="132"/>
      <c r="U38" s="166">
        <v>12</v>
      </c>
      <c r="V38" s="138"/>
      <c r="W38" s="132"/>
      <c r="X38" s="138"/>
      <c r="Y38" s="167"/>
      <c r="Z38" s="135"/>
      <c r="AA38" s="167"/>
      <c r="AB38" s="135"/>
      <c r="AC38" s="167"/>
      <c r="AD38" s="253"/>
      <c r="AE38" s="138"/>
      <c r="AF38" s="253"/>
      <c r="AG38" s="138"/>
      <c r="AH38" s="181"/>
      <c r="AI38" s="261"/>
      <c r="AJ38" s="144"/>
      <c r="AK38" s="222"/>
    </row>
    <row r="39" spans="1:37" ht="48.65" customHeight="1" x14ac:dyDescent="0.3">
      <c r="A39" s="145">
        <v>13</v>
      </c>
      <c r="B39" s="131" t="s">
        <v>42</v>
      </c>
      <c r="C39" s="132" t="s">
        <v>46</v>
      </c>
      <c r="D39" s="132" t="s">
        <v>125</v>
      </c>
      <c r="E39" s="133" t="s">
        <v>102</v>
      </c>
      <c r="F39" s="175">
        <v>126.826892</v>
      </c>
      <c r="G39" s="175">
        <v>-8.7096719999999994</v>
      </c>
      <c r="H39" s="175">
        <v>126.833938</v>
      </c>
      <c r="I39" s="175">
        <v>-8.7219470000000001</v>
      </c>
      <c r="J39" s="135">
        <v>3</v>
      </c>
      <c r="K39" s="133" t="s">
        <v>84</v>
      </c>
      <c r="L39" s="146" t="s">
        <v>8</v>
      </c>
      <c r="M39" s="135">
        <v>2707</v>
      </c>
      <c r="N39" s="135">
        <v>52.84</v>
      </c>
      <c r="O39" s="132">
        <f t="shared" si="12"/>
        <v>7.57</v>
      </c>
      <c r="P39" s="125">
        <f t="shared" si="13"/>
        <v>387.81207418622256</v>
      </c>
      <c r="Q39" s="165">
        <f t="shared" si="15"/>
        <v>2.1153385864703049E-2</v>
      </c>
      <c r="R39" s="139">
        <v>15</v>
      </c>
      <c r="S39" s="139">
        <v>275000</v>
      </c>
      <c r="T39" s="132"/>
      <c r="U39" s="166">
        <v>13</v>
      </c>
      <c r="V39" s="138"/>
      <c r="W39" s="132"/>
      <c r="X39" s="138"/>
      <c r="Y39" s="132"/>
      <c r="Z39" s="138"/>
      <c r="AA39" s="167"/>
      <c r="AB39" s="135"/>
      <c r="AC39" s="167"/>
      <c r="AD39" s="253"/>
      <c r="AE39" s="138"/>
      <c r="AF39" s="253"/>
      <c r="AG39" s="138"/>
      <c r="AH39" s="181"/>
      <c r="AI39" s="261"/>
      <c r="AJ39" s="144"/>
      <c r="AK39" s="222"/>
    </row>
    <row r="40" spans="1:37" ht="48.65" customHeight="1" x14ac:dyDescent="0.3">
      <c r="A40" s="145">
        <v>14</v>
      </c>
      <c r="B40" s="131" t="s">
        <v>39</v>
      </c>
      <c r="C40" s="132" t="s">
        <v>45</v>
      </c>
      <c r="D40" s="132" t="s">
        <v>57</v>
      </c>
      <c r="E40" s="150" t="s">
        <v>117</v>
      </c>
      <c r="F40" s="175">
        <v>127.08969</v>
      </c>
      <c r="G40" s="175">
        <v>-8.5144680000000008</v>
      </c>
      <c r="H40" s="175">
        <v>127.111547</v>
      </c>
      <c r="I40" s="175">
        <v>-8.4924769999999992</v>
      </c>
      <c r="J40" s="135">
        <v>3.5</v>
      </c>
      <c r="K40" s="133" t="s">
        <v>24</v>
      </c>
      <c r="L40" s="146" t="s">
        <v>8</v>
      </c>
      <c r="M40" s="135">
        <v>2785</v>
      </c>
      <c r="N40" s="135">
        <v>76.28</v>
      </c>
      <c r="O40" s="132">
        <f t="shared" si="12"/>
        <v>8.57</v>
      </c>
      <c r="P40" s="125">
        <f t="shared" si="13"/>
        <v>312.89263240692185</v>
      </c>
      <c r="Q40" s="165">
        <f t="shared" si="15"/>
        <v>2.0025128474042999E-2</v>
      </c>
      <c r="R40" s="139">
        <v>10</v>
      </c>
      <c r="S40" s="139">
        <v>156250</v>
      </c>
      <c r="T40" s="132"/>
      <c r="U40" s="166">
        <v>14</v>
      </c>
      <c r="V40" s="138"/>
      <c r="W40" s="132"/>
      <c r="X40" s="138"/>
      <c r="Y40" s="132"/>
      <c r="Z40" s="138"/>
      <c r="AA40" s="132"/>
      <c r="AB40" s="138"/>
      <c r="AC40" s="167"/>
      <c r="AD40" s="253"/>
      <c r="AE40" s="138"/>
      <c r="AF40" s="253"/>
      <c r="AG40" s="138"/>
      <c r="AH40" s="181"/>
      <c r="AI40" s="261"/>
      <c r="AJ40" s="144"/>
      <c r="AK40" s="222"/>
    </row>
    <row r="41" spans="1:37" ht="48.65" customHeight="1" x14ac:dyDescent="0.3">
      <c r="A41" s="145">
        <v>15</v>
      </c>
      <c r="B41" s="131" t="s">
        <v>41</v>
      </c>
      <c r="C41" s="132" t="s">
        <v>46</v>
      </c>
      <c r="D41" s="132" t="s">
        <v>133</v>
      </c>
      <c r="E41" s="150" t="s">
        <v>113</v>
      </c>
      <c r="F41" s="175">
        <v>126.828141</v>
      </c>
      <c r="G41" s="175">
        <v>-8.6896930000000001</v>
      </c>
      <c r="H41" s="166">
        <v>126.82643299999999</v>
      </c>
      <c r="I41" s="166">
        <v>-8.7008010000000002</v>
      </c>
      <c r="J41" s="135">
        <v>4</v>
      </c>
      <c r="K41" s="133" t="s">
        <v>84</v>
      </c>
      <c r="L41" s="146" t="s">
        <v>8</v>
      </c>
      <c r="M41" s="135">
        <f>2707+2049</f>
        <v>4756</v>
      </c>
      <c r="N41" s="135">
        <f>52.85+71.5</f>
        <v>124.35</v>
      </c>
      <c r="O41" s="132">
        <f t="shared" si="12"/>
        <v>9.57</v>
      </c>
      <c r="P41" s="125">
        <f t="shared" si="13"/>
        <v>366.0226779252111</v>
      </c>
      <c r="Q41" s="165">
        <f t="shared" si="15"/>
        <v>2.6619831121833536E-2</v>
      </c>
      <c r="R41" s="139">
        <v>15</v>
      </c>
      <c r="S41" s="139">
        <v>206250</v>
      </c>
      <c r="T41" s="132"/>
      <c r="U41" s="166">
        <v>15</v>
      </c>
      <c r="V41" s="138"/>
      <c r="W41" s="132"/>
      <c r="X41" s="138"/>
      <c r="Y41" s="132"/>
      <c r="Z41" s="138"/>
      <c r="AA41" s="132"/>
      <c r="AB41" s="138"/>
      <c r="AC41" s="167"/>
      <c r="AD41" s="135"/>
      <c r="AE41" s="138"/>
      <c r="AF41" s="138"/>
      <c r="AG41" s="138"/>
      <c r="AH41" s="253"/>
      <c r="AI41" s="260"/>
      <c r="AJ41" s="144"/>
      <c r="AK41" s="222"/>
    </row>
    <row r="42" spans="1:37" ht="48.65" customHeight="1" x14ac:dyDescent="0.3">
      <c r="A42" s="145">
        <v>16</v>
      </c>
      <c r="B42" s="131" t="s">
        <v>42</v>
      </c>
      <c r="C42" s="132" t="s">
        <v>95</v>
      </c>
      <c r="D42" s="132" t="s">
        <v>128</v>
      </c>
      <c r="E42" s="150" t="s">
        <v>107</v>
      </c>
      <c r="F42" s="175">
        <v>127.010875</v>
      </c>
      <c r="G42" s="175">
        <v>-8.6117260000000009</v>
      </c>
      <c r="H42" s="175">
        <v>127.048399</v>
      </c>
      <c r="I42" s="175">
        <v>-8.6006129999999992</v>
      </c>
      <c r="J42" s="135">
        <v>5</v>
      </c>
      <c r="K42" s="133" t="s">
        <v>24</v>
      </c>
      <c r="L42" s="146" t="s">
        <v>8</v>
      </c>
      <c r="M42" s="135">
        <v>3708</v>
      </c>
      <c r="N42" s="135">
        <v>133.69999999999999</v>
      </c>
      <c r="O42" s="132">
        <f t="shared" si="12"/>
        <v>11.57</v>
      </c>
      <c r="P42" s="125">
        <f t="shared" si="13"/>
        <v>320.87928197456995</v>
      </c>
      <c r="Q42" s="165">
        <f t="shared" si="15"/>
        <v>1.5557783368463998E-2</v>
      </c>
      <c r="R42" s="139">
        <v>10</v>
      </c>
      <c r="S42" s="139">
        <v>206250</v>
      </c>
      <c r="T42" s="132"/>
      <c r="U42" s="166">
        <v>16</v>
      </c>
      <c r="V42" s="138"/>
      <c r="W42" s="132"/>
      <c r="X42" s="138"/>
      <c r="Y42" s="132"/>
      <c r="Z42" s="138"/>
      <c r="AA42" s="167"/>
      <c r="AB42" s="135"/>
      <c r="AC42" s="167"/>
      <c r="AD42" s="135"/>
      <c r="AE42" s="138"/>
      <c r="AF42" s="138"/>
      <c r="AG42" s="138"/>
      <c r="AH42" s="253"/>
      <c r="AI42" s="260"/>
      <c r="AJ42" s="144"/>
      <c r="AK42" s="222"/>
    </row>
    <row r="43" spans="1:37" ht="48.65" customHeight="1" x14ac:dyDescent="0.3">
      <c r="A43" s="145">
        <v>17</v>
      </c>
      <c r="B43" s="131" t="s">
        <v>42</v>
      </c>
      <c r="C43" s="132" t="s">
        <v>46</v>
      </c>
      <c r="D43" s="132" t="s">
        <v>125</v>
      </c>
      <c r="E43" s="150" t="s">
        <v>108</v>
      </c>
      <c r="F43" s="166">
        <v>126.82301</v>
      </c>
      <c r="G43" s="166">
        <v>-8.7128040000000002</v>
      </c>
      <c r="H43" s="166">
        <v>126.80778599999999</v>
      </c>
      <c r="I43" s="166">
        <v>-8.7185459999999999</v>
      </c>
      <c r="J43" s="135">
        <v>2.5</v>
      </c>
      <c r="K43" s="133" t="s">
        <v>84</v>
      </c>
      <c r="L43" s="146" t="s">
        <v>8</v>
      </c>
      <c r="M43" s="135">
        <v>2707</v>
      </c>
      <c r="N43" s="135">
        <v>52.84</v>
      </c>
      <c r="O43" s="132">
        <f t="shared" si="12"/>
        <v>6.57</v>
      </c>
      <c r="P43" s="125">
        <f t="shared" si="13"/>
        <v>336.58194549583646</v>
      </c>
      <c r="Q43" s="165">
        <f t="shared" si="15"/>
        <v>1.8359015208863808E-2</v>
      </c>
      <c r="R43" s="139">
        <v>15</v>
      </c>
      <c r="S43" s="139">
        <v>275000</v>
      </c>
      <c r="T43" s="132"/>
      <c r="U43" s="166">
        <v>17</v>
      </c>
      <c r="V43" s="138"/>
      <c r="W43" s="132"/>
      <c r="X43" s="138"/>
      <c r="Y43" s="132"/>
      <c r="Z43" s="138"/>
      <c r="AA43" s="132"/>
      <c r="AB43" s="138"/>
      <c r="AC43" s="167"/>
      <c r="AD43" s="135"/>
      <c r="AE43" s="138"/>
      <c r="AF43" s="138"/>
      <c r="AG43" s="138"/>
      <c r="AH43" s="253"/>
      <c r="AI43" s="260"/>
      <c r="AJ43" s="144"/>
      <c r="AK43" s="222"/>
    </row>
    <row r="44" spans="1:37" ht="48.65" customHeight="1" x14ac:dyDescent="0.3">
      <c r="A44" s="145">
        <v>18</v>
      </c>
      <c r="B44" s="131" t="s">
        <v>42</v>
      </c>
      <c r="C44" s="132" t="s">
        <v>46</v>
      </c>
      <c r="D44" s="132" t="s">
        <v>125</v>
      </c>
      <c r="E44" s="133" t="s">
        <v>104</v>
      </c>
      <c r="F44" s="175">
        <v>126.83604099999999</v>
      </c>
      <c r="G44" s="175">
        <v>-8.6817060000000001</v>
      </c>
      <c r="H44" s="175">
        <v>126.859624</v>
      </c>
      <c r="I44" s="175">
        <v>-8.6872249999999998</v>
      </c>
      <c r="J44" s="135">
        <v>3.05</v>
      </c>
      <c r="K44" s="133" t="s">
        <v>84</v>
      </c>
      <c r="L44" s="146" t="s">
        <v>8</v>
      </c>
      <c r="M44" s="135">
        <v>1150</v>
      </c>
      <c r="N44" s="135">
        <v>97.5</v>
      </c>
      <c r="O44" s="132">
        <f t="shared" si="12"/>
        <v>7.67</v>
      </c>
      <c r="P44" s="125">
        <f t="shared" si="13"/>
        <v>90.466666666666669</v>
      </c>
      <c r="Q44" s="165">
        <f t="shared" si="15"/>
        <v>4.9345454545454545E-3</v>
      </c>
      <c r="R44" s="139">
        <v>15</v>
      </c>
      <c r="S44" s="139">
        <v>275000</v>
      </c>
      <c r="T44" s="132"/>
      <c r="U44" s="166">
        <v>18</v>
      </c>
      <c r="V44" s="138"/>
      <c r="W44" s="132"/>
      <c r="X44" s="138"/>
      <c r="Y44" s="167"/>
      <c r="Z44" s="135"/>
      <c r="AA44" s="167"/>
      <c r="AB44" s="135"/>
      <c r="AC44" s="167"/>
      <c r="AD44" s="135"/>
      <c r="AE44" s="138"/>
      <c r="AF44" s="138"/>
      <c r="AG44" s="138"/>
      <c r="AH44" s="253"/>
      <c r="AI44" s="260"/>
      <c r="AJ44" s="144"/>
      <c r="AK44" s="222"/>
    </row>
    <row r="45" spans="1:37" ht="48.65" customHeight="1" x14ac:dyDescent="0.3">
      <c r="A45" s="145">
        <v>19</v>
      </c>
      <c r="B45" s="131" t="s">
        <v>88</v>
      </c>
      <c r="C45" s="132" t="s">
        <v>44</v>
      </c>
      <c r="D45" s="132" t="s">
        <v>132</v>
      </c>
      <c r="E45" s="150" t="s">
        <v>112</v>
      </c>
      <c r="F45" s="175">
        <v>126.848935</v>
      </c>
      <c r="G45" s="175">
        <v>-8.5179659999999995</v>
      </c>
      <c r="H45" s="175">
        <v>126.888716</v>
      </c>
      <c r="I45" s="175">
        <v>-8.4564819999999994</v>
      </c>
      <c r="J45" s="135">
        <v>10.3</v>
      </c>
      <c r="K45" s="133" t="s">
        <v>135</v>
      </c>
      <c r="L45" s="184" t="s">
        <v>25</v>
      </c>
      <c r="M45" s="135">
        <v>1603</v>
      </c>
      <c r="N45" s="135">
        <v>45.26</v>
      </c>
      <c r="O45" s="132">
        <f t="shared" si="12"/>
        <v>22.17</v>
      </c>
      <c r="P45" s="125">
        <f t="shared" si="13"/>
        <v>785.20790985417602</v>
      </c>
      <c r="Q45" s="165">
        <f t="shared" si="15"/>
        <v>0</v>
      </c>
      <c r="R45" s="139"/>
      <c r="S45" s="139">
        <v>5000</v>
      </c>
      <c r="T45" s="132"/>
      <c r="U45" s="166">
        <v>19</v>
      </c>
      <c r="V45" s="138"/>
      <c r="W45" s="132"/>
      <c r="X45" s="138"/>
      <c r="Y45" s="132"/>
      <c r="Z45" s="138"/>
      <c r="AA45" s="132"/>
      <c r="AB45" s="259"/>
      <c r="AC45" s="200"/>
      <c r="AD45" s="259"/>
      <c r="AE45" s="138"/>
      <c r="AF45" s="259"/>
      <c r="AG45" s="138"/>
      <c r="AH45" s="253"/>
      <c r="AI45" s="261"/>
      <c r="AJ45" s="144"/>
      <c r="AK45" s="222"/>
    </row>
    <row r="46" spans="1:37" ht="48.65" customHeight="1" x14ac:dyDescent="0.3">
      <c r="A46" s="145">
        <v>20</v>
      </c>
      <c r="B46" s="131" t="s">
        <v>93</v>
      </c>
      <c r="C46" s="132" t="s">
        <v>45</v>
      </c>
      <c r="D46" s="132" t="s">
        <v>58</v>
      </c>
      <c r="E46" s="150" t="s">
        <v>119</v>
      </c>
      <c r="F46" s="175">
        <v>126.96513400000001</v>
      </c>
      <c r="G46" s="175">
        <v>-8.5304369999999992</v>
      </c>
      <c r="H46" s="187">
        <v>126.927727</v>
      </c>
      <c r="I46" s="187">
        <v>-8.5332489999999996</v>
      </c>
      <c r="J46" s="188">
        <v>5.8</v>
      </c>
      <c r="K46" s="189" t="s">
        <v>144</v>
      </c>
      <c r="L46" s="190" t="s">
        <v>25</v>
      </c>
      <c r="M46" s="188">
        <v>4111</v>
      </c>
      <c r="N46" s="188">
        <f>43.4</f>
        <v>43.4</v>
      </c>
      <c r="O46" s="132">
        <f t="shared" si="12"/>
        <v>13.17</v>
      </c>
      <c r="P46" s="125">
        <f t="shared" si="13"/>
        <v>1247.5085253456223</v>
      </c>
      <c r="Q46" s="165">
        <f t="shared" si="15"/>
        <v>0</v>
      </c>
      <c r="R46" s="139"/>
      <c r="S46" s="191">
        <v>5000</v>
      </c>
      <c r="T46" s="132"/>
      <c r="U46" s="166">
        <v>20</v>
      </c>
      <c r="V46" s="138"/>
      <c r="W46" s="132"/>
      <c r="X46" s="138"/>
      <c r="Y46" s="132"/>
      <c r="Z46" s="141">
        <f>5000*AA46</f>
        <v>29000</v>
      </c>
      <c r="AA46" s="178">
        <f>J46</f>
        <v>5.8</v>
      </c>
      <c r="AB46" s="185">
        <f>5000*AC46</f>
        <v>29000</v>
      </c>
      <c r="AC46" s="140">
        <f>AA46</f>
        <v>5.8</v>
      </c>
      <c r="AD46" s="185">
        <f>5000*AE46</f>
        <v>29000</v>
      </c>
      <c r="AE46" s="141">
        <f>AC46</f>
        <v>5.8</v>
      </c>
      <c r="AF46" s="185">
        <f>5000*AG46</f>
        <v>29000</v>
      </c>
      <c r="AG46" s="141">
        <f>AE46</f>
        <v>5.8</v>
      </c>
      <c r="AH46" s="173">
        <f>5000*AI46</f>
        <v>29000</v>
      </c>
      <c r="AI46" s="182">
        <f>AG46</f>
        <v>5.8</v>
      </c>
      <c r="AJ46" s="144"/>
      <c r="AK46" s="222"/>
    </row>
    <row r="47" spans="1:37" ht="48.65" customHeight="1" x14ac:dyDescent="0.3">
      <c r="A47" s="145">
        <v>21</v>
      </c>
      <c r="B47" s="131" t="s">
        <v>91</v>
      </c>
      <c r="C47" s="132" t="s">
        <v>44</v>
      </c>
      <c r="D47" s="132" t="s">
        <v>121</v>
      </c>
      <c r="E47" s="150" t="s">
        <v>116</v>
      </c>
      <c r="F47" s="175">
        <v>126.918738</v>
      </c>
      <c r="G47" s="175">
        <v>-8.3512190000000004</v>
      </c>
      <c r="H47" s="175">
        <v>126.93129999999999</v>
      </c>
      <c r="I47" s="175">
        <v>-8.3599370000000004</v>
      </c>
      <c r="J47" s="135">
        <v>2.1</v>
      </c>
      <c r="K47" s="133" t="s">
        <v>135</v>
      </c>
      <c r="L47" s="184" t="s">
        <v>25</v>
      </c>
      <c r="M47" s="135">
        <v>3345</v>
      </c>
      <c r="N47" s="135">
        <v>82.14</v>
      </c>
      <c r="O47" s="132">
        <f t="shared" si="12"/>
        <v>5.7700000000000005</v>
      </c>
      <c r="P47" s="125">
        <f t="shared" si="13"/>
        <v>234.97260774287804</v>
      </c>
      <c r="Q47" s="165">
        <f t="shared" si="15"/>
        <v>0</v>
      </c>
      <c r="R47" s="139"/>
      <c r="S47" s="139">
        <v>5000</v>
      </c>
      <c r="T47" s="132"/>
      <c r="U47" s="192">
        <v>21</v>
      </c>
      <c r="V47" s="201"/>
      <c r="W47" s="193"/>
      <c r="X47" s="201"/>
      <c r="Y47" s="202"/>
      <c r="Z47" s="141">
        <f>5000*AA47</f>
        <v>10500</v>
      </c>
      <c r="AA47" s="178">
        <f>J47</f>
        <v>2.1</v>
      </c>
      <c r="AB47" s="185">
        <f>5000*AC47</f>
        <v>10500</v>
      </c>
      <c r="AC47" s="140">
        <f>AA47</f>
        <v>2.1</v>
      </c>
      <c r="AD47" s="185">
        <f>5000*AE47</f>
        <v>10500</v>
      </c>
      <c r="AE47" s="141">
        <f>AC47</f>
        <v>2.1</v>
      </c>
      <c r="AF47" s="185">
        <f t="shared" ref="AF47" si="17">5000*AG47</f>
        <v>10500</v>
      </c>
      <c r="AG47" s="141">
        <f>AE47</f>
        <v>2.1</v>
      </c>
      <c r="AH47" s="173">
        <f>5000*AI47</f>
        <v>10500</v>
      </c>
      <c r="AI47" s="182">
        <f>AG47</f>
        <v>2.1</v>
      </c>
      <c r="AJ47" s="194"/>
      <c r="AK47" s="222"/>
    </row>
    <row r="48" spans="1:37" ht="48.65" customHeight="1" thickBot="1" x14ac:dyDescent="0.35">
      <c r="A48" s="145">
        <v>22</v>
      </c>
      <c r="B48" s="225" t="s">
        <v>87</v>
      </c>
      <c r="C48" s="226" t="s">
        <v>94</v>
      </c>
      <c r="D48" s="226" t="s">
        <v>94</v>
      </c>
      <c r="E48" s="227" t="s">
        <v>111</v>
      </c>
      <c r="F48" s="228">
        <v>127.255039</v>
      </c>
      <c r="G48" s="228">
        <v>-8.3953900000000008</v>
      </c>
      <c r="H48" s="228">
        <v>127.300624</v>
      </c>
      <c r="I48" s="228">
        <v>-8.4146269999999994</v>
      </c>
      <c r="J48" s="225">
        <v>8</v>
      </c>
      <c r="K48" s="227" t="s">
        <v>135</v>
      </c>
      <c r="L48" s="229" t="s">
        <v>25</v>
      </c>
      <c r="M48" s="225">
        <v>1989</v>
      </c>
      <c r="N48" s="225">
        <v>119.69</v>
      </c>
      <c r="O48" s="226">
        <f t="shared" si="12"/>
        <v>17.57</v>
      </c>
      <c r="P48" s="230">
        <f t="shared" si="13"/>
        <v>291.97702397861138</v>
      </c>
      <c r="Q48" s="231">
        <f t="shared" si="15"/>
        <v>0</v>
      </c>
      <c r="R48" s="232"/>
      <c r="S48" s="232">
        <v>5000</v>
      </c>
      <c r="T48" s="226"/>
      <c r="U48" s="233">
        <v>22</v>
      </c>
      <c r="V48" s="234"/>
      <c r="W48" s="226"/>
      <c r="X48" s="234"/>
      <c r="Y48" s="226"/>
      <c r="Z48" s="235">
        <f>5000*AA48</f>
        <v>40000</v>
      </c>
      <c r="AA48" s="236">
        <f>J48</f>
        <v>8</v>
      </c>
      <c r="AB48" s="237">
        <f>5000*AC48</f>
        <v>40000</v>
      </c>
      <c r="AC48" s="238">
        <f>AA48</f>
        <v>8</v>
      </c>
      <c r="AD48" s="237">
        <f>5000*AE48</f>
        <v>40000</v>
      </c>
      <c r="AE48" s="235">
        <f>AC48</f>
        <v>8</v>
      </c>
      <c r="AF48" s="185">
        <f>5000*AG48</f>
        <v>40000</v>
      </c>
      <c r="AG48" s="235">
        <f>AE48</f>
        <v>8</v>
      </c>
      <c r="AH48" s="241">
        <f>5000*AI48</f>
        <v>40000</v>
      </c>
      <c r="AI48" s="242">
        <f>AG48</f>
        <v>8</v>
      </c>
      <c r="AJ48" s="243"/>
      <c r="AK48" s="244"/>
    </row>
    <row r="49" spans="1:37" ht="36.65" customHeight="1" x14ac:dyDescent="0.45">
      <c r="A49" s="563" t="s">
        <v>142</v>
      </c>
      <c r="B49" s="564"/>
      <c r="C49" s="564"/>
      <c r="D49" s="564"/>
      <c r="E49" s="564"/>
      <c r="F49" s="564"/>
      <c r="G49" s="564"/>
      <c r="H49" s="564"/>
      <c r="I49" s="564"/>
      <c r="J49" s="564"/>
      <c r="K49" s="565"/>
      <c r="L49" s="102" t="s">
        <v>17</v>
      </c>
      <c r="M49" s="93"/>
      <c r="N49" s="93"/>
      <c r="O49" s="93"/>
      <c r="P49" s="93"/>
      <c r="Q49" s="93"/>
      <c r="R49" s="93"/>
      <c r="S49" s="93"/>
      <c r="T49" s="94"/>
      <c r="U49" s="95"/>
      <c r="V49" s="103">
        <v>0</v>
      </c>
      <c r="W49" s="103">
        <v>0</v>
      </c>
      <c r="X49" s="103">
        <v>0</v>
      </c>
      <c r="Y49" s="103">
        <v>0</v>
      </c>
      <c r="Z49" s="104">
        <f>SUM(Z9:Z25)+SUM(Z45:Z48)</f>
        <v>379250</v>
      </c>
      <c r="AA49" s="105">
        <f>SUM(AA9:AA25)+SUM(AA45:AA48)</f>
        <v>75.850000000000009</v>
      </c>
      <c r="AB49" s="104">
        <f>SUM(AB10:AB25)+SUM(AB45:AB48)+AB33</f>
        <v>351750</v>
      </c>
      <c r="AC49" s="105">
        <f>SUM(AC9:AC25)+SUM(AC45:AC48)+AC33</f>
        <v>77.350000000000009</v>
      </c>
      <c r="AD49" s="106">
        <f>SUM(AD9:AD25)+AD29+AD30+AD33+AD35+SUM(AD45:AD48)</f>
        <v>431500</v>
      </c>
      <c r="AE49" s="107">
        <f>SUM(AE9:AE25)+AE29+AE30+AE33+AE35+SUM(AE45:AE48)</f>
        <v>86.300000000000026</v>
      </c>
      <c r="AF49" s="106">
        <f>SUM(AF9:AF25)+AF29+AF30+AF33+AF46+AF47+AF48</f>
        <v>431500</v>
      </c>
      <c r="AG49" s="106">
        <f>SUM(AG9:AG25)+AG29+AG30+AG33+AG46+AG47+AG48</f>
        <v>86.300000000000011</v>
      </c>
      <c r="AH49" s="106">
        <f>SUM(AH9:AH25)+AH29+AH30+AH33+AH46+AH47+AH48</f>
        <v>431500</v>
      </c>
      <c r="AI49" s="108">
        <f>SUM(AI9:AI25)+AI29+AI30+AI33+AI46+AI47+AI48</f>
        <v>86.300000000000011</v>
      </c>
      <c r="AJ49" s="109">
        <f>V49+X49+Z49+AB49+AD49+AF49+AH49</f>
        <v>2025500</v>
      </c>
      <c r="AK49" s="248">
        <f>W49+Y49+AA49+AC49+AE49+AG49+AI49</f>
        <v>412.10000000000008</v>
      </c>
    </row>
    <row r="50" spans="1:37" ht="36.65" customHeight="1" x14ac:dyDescent="0.45">
      <c r="A50" s="566"/>
      <c r="B50" s="567"/>
      <c r="C50" s="567"/>
      <c r="D50" s="567"/>
      <c r="E50" s="567"/>
      <c r="F50" s="567"/>
      <c r="G50" s="567"/>
      <c r="H50" s="567"/>
      <c r="I50" s="567"/>
      <c r="J50" s="567"/>
      <c r="K50" s="568"/>
      <c r="L50" s="110" t="s">
        <v>18</v>
      </c>
      <c r="M50" s="92"/>
      <c r="N50" s="92"/>
      <c r="O50" s="92"/>
      <c r="P50" s="92"/>
      <c r="Q50" s="92"/>
      <c r="R50" s="92"/>
      <c r="S50" s="92"/>
      <c r="T50" s="96"/>
      <c r="U50" s="97"/>
      <c r="V50" s="111">
        <v>0</v>
      </c>
      <c r="W50" s="111">
        <v>0</v>
      </c>
      <c r="X50" s="111">
        <v>0</v>
      </c>
      <c r="Y50" s="111">
        <v>0</v>
      </c>
      <c r="Z50" s="111"/>
      <c r="AA50" s="111"/>
      <c r="AB50" s="111"/>
      <c r="AC50" s="112"/>
      <c r="AD50" s="113"/>
      <c r="AE50" s="113"/>
      <c r="AF50" s="113"/>
      <c r="AG50" s="113"/>
      <c r="AH50" s="113"/>
      <c r="AI50" s="114"/>
      <c r="AJ50" s="115">
        <f t="shared" ref="AJ50:AK51" si="18">V50+X50+Z50+AB50+AD50+AF50+AH50</f>
        <v>0</v>
      </c>
      <c r="AK50" s="249">
        <f t="shared" si="18"/>
        <v>0</v>
      </c>
    </row>
    <row r="51" spans="1:37" ht="36.65" customHeight="1" x14ac:dyDescent="0.45">
      <c r="A51" s="566"/>
      <c r="B51" s="567"/>
      <c r="C51" s="567"/>
      <c r="D51" s="567"/>
      <c r="E51" s="567"/>
      <c r="F51" s="567"/>
      <c r="G51" s="567"/>
      <c r="H51" s="567"/>
      <c r="I51" s="567"/>
      <c r="J51" s="567"/>
      <c r="K51" s="568"/>
      <c r="L51" s="116" t="s">
        <v>19</v>
      </c>
      <c r="M51" s="92"/>
      <c r="N51" s="92"/>
      <c r="O51" s="92"/>
      <c r="P51" s="92"/>
      <c r="Q51" s="92"/>
      <c r="R51" s="92"/>
      <c r="S51" s="92"/>
      <c r="T51" s="96"/>
      <c r="U51" s="98"/>
      <c r="V51" s="117">
        <v>0</v>
      </c>
      <c r="W51" s="117">
        <v>0</v>
      </c>
      <c r="X51" s="117">
        <v>0</v>
      </c>
      <c r="Y51" s="117">
        <v>0</v>
      </c>
      <c r="Z51" s="118">
        <f>SUM(Z27:Z31)+Z33</f>
        <v>639375</v>
      </c>
      <c r="AA51" s="119">
        <f>SUM(AA27:AA31)+AA33</f>
        <v>3.1</v>
      </c>
      <c r="AB51" s="118">
        <f>SUM(AB27:AB36)</f>
        <v>667500</v>
      </c>
      <c r="AC51" s="119">
        <f t="shared" ref="AC51:AI51" si="19">AC27+AC28</f>
        <v>2.8</v>
      </c>
      <c r="AD51" s="118">
        <f t="shared" si="19"/>
        <v>660000</v>
      </c>
      <c r="AE51" s="118">
        <f t="shared" si="19"/>
        <v>2.8</v>
      </c>
      <c r="AF51" s="118">
        <f t="shared" si="19"/>
        <v>660000</v>
      </c>
      <c r="AG51" s="118">
        <f t="shared" si="19"/>
        <v>2.8</v>
      </c>
      <c r="AH51" s="118">
        <f t="shared" si="19"/>
        <v>660000</v>
      </c>
      <c r="AI51" s="119">
        <f t="shared" si="19"/>
        <v>2.8</v>
      </c>
      <c r="AJ51" s="120">
        <f t="shared" si="18"/>
        <v>3286875</v>
      </c>
      <c r="AK51" s="250">
        <f>W51+Y51+AA51+AC51+AE51+AG51+AI51</f>
        <v>14.3</v>
      </c>
    </row>
    <row r="52" spans="1:37" ht="36.65" customHeight="1" thickBot="1" x14ac:dyDescent="0.35">
      <c r="A52" s="569"/>
      <c r="B52" s="570"/>
      <c r="C52" s="570"/>
      <c r="D52" s="570"/>
      <c r="E52" s="570"/>
      <c r="F52" s="570"/>
      <c r="G52" s="570"/>
      <c r="H52" s="570"/>
      <c r="I52" s="570"/>
      <c r="J52" s="570"/>
      <c r="K52" s="571"/>
      <c r="L52" s="121" t="s">
        <v>20</v>
      </c>
      <c r="M52" s="99"/>
      <c r="N52" s="99"/>
      <c r="O52" s="99"/>
      <c r="P52" s="99"/>
      <c r="Q52" s="99"/>
      <c r="R52" s="99"/>
      <c r="S52" s="99"/>
      <c r="T52" s="122">
        <f>SUM(T9:T51)</f>
        <v>3279375</v>
      </c>
      <c r="U52" s="101"/>
      <c r="V52" s="122">
        <f>SUM(V49:V51)</f>
        <v>0</v>
      </c>
      <c r="W52" s="122">
        <f t="shared" ref="W52:AI52" si="20">SUM(W49:W51)</f>
        <v>0</v>
      </c>
      <c r="X52" s="122">
        <f t="shared" si="20"/>
        <v>0</v>
      </c>
      <c r="Y52" s="122">
        <f t="shared" si="20"/>
        <v>0</v>
      </c>
      <c r="Z52" s="122">
        <f t="shared" si="20"/>
        <v>1018625</v>
      </c>
      <c r="AA52" s="122">
        <f t="shared" si="20"/>
        <v>78.95</v>
      </c>
      <c r="AB52" s="122">
        <f t="shared" si="20"/>
        <v>1019250</v>
      </c>
      <c r="AC52" s="122">
        <f t="shared" si="20"/>
        <v>80.150000000000006</v>
      </c>
      <c r="AD52" s="122">
        <f>SUM(AD49:AD51)</f>
        <v>1091500</v>
      </c>
      <c r="AE52" s="122">
        <f t="shared" si="20"/>
        <v>89.100000000000023</v>
      </c>
      <c r="AF52" s="122">
        <f>SUM(AF49:AF51)</f>
        <v>1091500</v>
      </c>
      <c r="AG52" s="122">
        <f t="shared" si="20"/>
        <v>89.100000000000009</v>
      </c>
      <c r="AH52" s="122">
        <f t="shared" si="20"/>
        <v>1091500</v>
      </c>
      <c r="AI52" s="122">
        <f t="shared" si="20"/>
        <v>89.100000000000009</v>
      </c>
      <c r="AJ52" s="123">
        <f>SUM(AJ49:AJ51)</f>
        <v>5312375</v>
      </c>
      <c r="AK52" s="251">
        <f>SUM(AK49:AK51)</f>
        <v>426.40000000000009</v>
      </c>
    </row>
    <row r="53" spans="1:37" ht="18" x14ac:dyDescent="0.4">
      <c r="J53" s="90"/>
    </row>
    <row r="54" spans="1:37" ht="18" x14ac:dyDescent="0.4">
      <c r="J54" s="90"/>
    </row>
  </sheetData>
  <mergeCells count="54"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  <mergeCell ref="Y7:Y8"/>
    <mergeCell ref="Z7:Z8"/>
    <mergeCell ref="AE7:AE8"/>
    <mergeCell ref="AF7:AF8"/>
    <mergeCell ref="AB5:AC6"/>
    <mergeCell ref="AD5:AE6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</mergeCells>
  <printOptions horizontalCentered="1" verticalCentered="1"/>
  <pageMargins left="0.25" right="0.25" top="0.75" bottom="0.75" header="0.3" footer="0.3"/>
  <pageSetup paperSize="8" scale="30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AK54"/>
  <sheetViews>
    <sheetView zoomScale="50" zoomScaleNormal="50" workbookViewId="0">
      <pane xSplit="10" ySplit="8" topLeftCell="K9" activePane="bottomRight" state="frozen"/>
      <selection pane="topRight" activeCell="K1" sqref="K1"/>
      <selection pane="bottomLeft" activeCell="A8" sqref="A8"/>
      <selection pane="bottomRight" activeCell="A14" sqref="A14"/>
    </sheetView>
  </sheetViews>
  <sheetFormatPr defaultColWidth="8.81640625" defaultRowHeight="14" x14ac:dyDescent="0.3"/>
  <cols>
    <col min="1" max="1" width="8" style="1" customWidth="1"/>
    <col min="2" max="2" width="11.6328125" style="1" customWidth="1"/>
    <col min="3" max="3" width="20.81640625" style="1" customWidth="1"/>
    <col min="4" max="4" width="26.6328125" style="1" customWidth="1"/>
    <col min="5" max="5" width="54.1796875" style="1" customWidth="1"/>
    <col min="6" max="9" width="17.36328125" style="1" customWidth="1"/>
    <col min="10" max="10" width="12.36328125" style="1" customWidth="1"/>
    <col min="11" max="11" width="21.36328125" style="1" customWidth="1"/>
    <col min="12" max="12" width="23.81640625" style="14" customWidth="1"/>
    <col min="13" max="15" width="12" style="1" customWidth="1"/>
    <col min="16" max="16" width="13" style="1" customWidth="1"/>
    <col min="17" max="18" width="12" style="1" customWidth="1"/>
    <col min="19" max="19" width="14.453125" style="6" customWidth="1"/>
    <col min="20" max="20" width="20.6328125" style="1" customWidth="1"/>
    <col min="21" max="21" width="12" style="1" customWidth="1"/>
    <col min="22" max="25" width="12.6328125" style="1" customWidth="1"/>
    <col min="26" max="26" width="21.81640625" style="1" customWidth="1"/>
    <col min="27" max="27" width="12.6328125" style="1" customWidth="1"/>
    <col min="28" max="28" width="21.6328125" style="1" customWidth="1"/>
    <col min="29" max="29" width="12.6328125" style="1" customWidth="1"/>
    <col min="30" max="30" width="21.90625" style="1" customWidth="1"/>
    <col min="31" max="31" width="12.6328125" style="1" customWidth="1"/>
    <col min="32" max="32" width="21.453125" style="1" customWidth="1"/>
    <col min="33" max="33" width="12.6328125" style="1" customWidth="1"/>
    <col min="34" max="34" width="20.6328125" style="1" customWidth="1"/>
    <col min="35" max="35" width="12.6328125" style="1" customWidth="1"/>
    <col min="36" max="36" width="19.81640625" style="1" customWidth="1"/>
    <col min="37" max="37" width="15.453125" style="1" customWidth="1"/>
    <col min="38" max="16384" width="8.81640625" style="1"/>
  </cols>
  <sheetData>
    <row r="1" spans="1:37" ht="93.65" customHeight="1" x14ac:dyDescent="0.3">
      <c r="A1" s="510" t="s">
        <v>152</v>
      </c>
      <c r="B1" s="510"/>
      <c r="C1" s="510"/>
      <c r="D1" s="510"/>
      <c r="E1" s="510"/>
      <c r="F1" s="510"/>
      <c r="G1" s="510"/>
      <c r="H1" s="510"/>
      <c r="I1" s="510"/>
      <c r="J1" s="510"/>
      <c r="K1" s="510"/>
      <c r="L1" s="510"/>
      <c r="M1" s="510"/>
      <c r="N1" s="510"/>
      <c r="O1" s="510"/>
      <c r="P1" s="510"/>
      <c r="Q1" s="510"/>
      <c r="R1" s="510"/>
      <c r="S1" s="510"/>
      <c r="T1" s="510"/>
      <c r="U1" s="510"/>
      <c r="V1" s="510"/>
      <c r="W1" s="510"/>
      <c r="X1" s="510"/>
      <c r="Y1" s="510"/>
      <c r="Z1" s="510"/>
      <c r="AA1" s="510"/>
      <c r="AB1" s="510"/>
      <c r="AC1" s="510"/>
      <c r="AD1" s="510"/>
      <c r="AE1" s="510"/>
      <c r="AF1" s="510"/>
      <c r="AG1" s="510"/>
      <c r="AH1" s="510"/>
      <c r="AI1" s="510"/>
      <c r="AJ1" s="510"/>
      <c r="AK1" s="510"/>
    </row>
    <row r="2" spans="1:37" ht="46.25" customHeight="1" thickBot="1" x14ac:dyDescent="0.35">
      <c r="O2" s="91">
        <f>((3.14*2^2)/4)/2</f>
        <v>1.57</v>
      </c>
    </row>
    <row r="3" spans="1:37" ht="34.25" customHeight="1" x14ac:dyDescent="0.3">
      <c r="A3" s="511" t="s">
        <v>33</v>
      </c>
      <c r="B3" s="514" t="s">
        <v>34</v>
      </c>
      <c r="C3" s="517" t="s">
        <v>0</v>
      </c>
      <c r="D3" s="520" t="s">
        <v>150</v>
      </c>
      <c r="E3" s="520" t="s">
        <v>2</v>
      </c>
      <c r="F3" s="520" t="s">
        <v>3</v>
      </c>
      <c r="G3" s="520"/>
      <c r="H3" s="520" t="s">
        <v>147</v>
      </c>
      <c r="I3" s="520"/>
      <c r="J3" s="534" t="s">
        <v>6</v>
      </c>
      <c r="K3" s="529" t="s">
        <v>26</v>
      </c>
      <c r="L3" s="529"/>
      <c r="M3" s="531" t="s">
        <v>27</v>
      </c>
      <c r="N3" s="531" t="s">
        <v>28</v>
      </c>
      <c r="O3" s="542" t="s">
        <v>32</v>
      </c>
      <c r="P3" s="545" t="s">
        <v>139</v>
      </c>
      <c r="Q3" s="537" t="s">
        <v>143</v>
      </c>
      <c r="R3" s="537" t="s">
        <v>148</v>
      </c>
      <c r="S3" s="572" t="s">
        <v>9</v>
      </c>
      <c r="T3" s="572"/>
      <c r="U3" s="531" t="s">
        <v>151</v>
      </c>
      <c r="V3" s="574" t="s">
        <v>149</v>
      </c>
      <c r="W3" s="575"/>
      <c r="X3" s="575"/>
      <c r="Y3" s="575"/>
      <c r="Z3" s="575"/>
      <c r="AA3" s="575"/>
      <c r="AB3" s="575"/>
      <c r="AC3" s="575"/>
      <c r="AD3" s="575"/>
      <c r="AE3" s="575"/>
      <c r="AF3" s="575"/>
      <c r="AG3" s="575"/>
      <c r="AH3" s="575"/>
      <c r="AI3" s="575"/>
      <c r="AJ3" s="575"/>
      <c r="AK3" s="576"/>
    </row>
    <row r="4" spans="1:37" ht="42" customHeight="1" x14ac:dyDescent="0.3">
      <c r="A4" s="512"/>
      <c r="B4" s="515"/>
      <c r="C4" s="518"/>
      <c r="D4" s="521"/>
      <c r="E4" s="521"/>
      <c r="F4" s="521"/>
      <c r="G4" s="521"/>
      <c r="H4" s="521"/>
      <c r="I4" s="521"/>
      <c r="J4" s="535"/>
      <c r="K4" s="530"/>
      <c r="L4" s="530"/>
      <c r="M4" s="532"/>
      <c r="N4" s="532"/>
      <c r="O4" s="543"/>
      <c r="P4" s="546"/>
      <c r="Q4" s="538"/>
      <c r="R4" s="538"/>
      <c r="S4" s="573"/>
      <c r="T4" s="573"/>
      <c r="U4" s="532"/>
      <c r="V4" s="577" t="s">
        <v>21</v>
      </c>
      <c r="W4" s="577"/>
      <c r="X4" s="577"/>
      <c r="Y4" s="577"/>
      <c r="Z4" s="550" t="s">
        <v>22</v>
      </c>
      <c r="AA4" s="550"/>
      <c r="AB4" s="550"/>
      <c r="AC4" s="550"/>
      <c r="AD4" s="550"/>
      <c r="AE4" s="550"/>
      <c r="AF4" s="548" t="s">
        <v>19</v>
      </c>
      <c r="AG4" s="548"/>
      <c r="AH4" s="548"/>
      <c r="AI4" s="548"/>
      <c r="AJ4" s="548"/>
      <c r="AK4" s="549"/>
    </row>
    <row r="5" spans="1:37" ht="30" customHeight="1" x14ac:dyDescent="0.45">
      <c r="A5" s="512"/>
      <c r="B5" s="515"/>
      <c r="C5" s="518"/>
      <c r="D5" s="521"/>
      <c r="E5" s="521"/>
      <c r="F5" s="527" t="s">
        <v>4</v>
      </c>
      <c r="G5" s="527" t="s">
        <v>5</v>
      </c>
      <c r="H5" s="527" t="s">
        <v>4</v>
      </c>
      <c r="I5" s="527" t="s">
        <v>5</v>
      </c>
      <c r="J5" s="535"/>
      <c r="K5" s="540" t="s">
        <v>7</v>
      </c>
      <c r="L5" s="195" t="s">
        <v>14</v>
      </c>
      <c r="M5" s="532"/>
      <c r="N5" s="532"/>
      <c r="O5" s="543"/>
      <c r="P5" s="546"/>
      <c r="Q5" s="538"/>
      <c r="R5" s="538"/>
      <c r="S5" s="578" t="s">
        <v>10</v>
      </c>
      <c r="T5" s="580" t="s">
        <v>11</v>
      </c>
      <c r="U5" s="532"/>
      <c r="V5" s="551">
        <v>2021</v>
      </c>
      <c r="W5" s="552"/>
      <c r="X5" s="551">
        <v>2022</v>
      </c>
      <c r="Y5" s="552"/>
      <c r="Z5" s="555">
        <v>2023</v>
      </c>
      <c r="AA5" s="556"/>
      <c r="AB5" s="555">
        <v>2024</v>
      </c>
      <c r="AC5" s="556"/>
      <c r="AD5" s="555">
        <v>2025</v>
      </c>
      <c r="AE5" s="556"/>
      <c r="AF5" s="555">
        <v>2026</v>
      </c>
      <c r="AG5" s="556"/>
      <c r="AH5" s="555">
        <v>2027</v>
      </c>
      <c r="AI5" s="556"/>
      <c r="AJ5" s="555" t="s">
        <v>11</v>
      </c>
      <c r="AK5" s="559"/>
    </row>
    <row r="6" spans="1:37" ht="30" customHeight="1" x14ac:dyDescent="0.45">
      <c r="A6" s="512"/>
      <c r="B6" s="515"/>
      <c r="C6" s="518"/>
      <c r="D6" s="521"/>
      <c r="E6" s="521"/>
      <c r="F6" s="527"/>
      <c r="G6" s="527"/>
      <c r="H6" s="527"/>
      <c r="I6" s="527"/>
      <c r="J6" s="535"/>
      <c r="K6" s="540"/>
      <c r="L6" s="196" t="s">
        <v>15</v>
      </c>
      <c r="M6" s="532"/>
      <c r="N6" s="532"/>
      <c r="O6" s="543"/>
      <c r="P6" s="546"/>
      <c r="Q6" s="538"/>
      <c r="R6" s="538"/>
      <c r="S6" s="578"/>
      <c r="T6" s="580"/>
      <c r="U6" s="532"/>
      <c r="V6" s="553"/>
      <c r="W6" s="554"/>
      <c r="X6" s="553"/>
      <c r="Y6" s="554"/>
      <c r="Z6" s="557"/>
      <c r="AA6" s="558"/>
      <c r="AB6" s="557"/>
      <c r="AC6" s="558"/>
      <c r="AD6" s="557"/>
      <c r="AE6" s="558"/>
      <c r="AF6" s="557"/>
      <c r="AG6" s="558"/>
      <c r="AH6" s="557"/>
      <c r="AI6" s="558"/>
      <c r="AJ6" s="557"/>
      <c r="AK6" s="560"/>
    </row>
    <row r="7" spans="1:37" ht="30" customHeight="1" x14ac:dyDescent="0.45">
      <c r="A7" s="512"/>
      <c r="B7" s="515"/>
      <c r="C7" s="518"/>
      <c r="D7" s="521"/>
      <c r="E7" s="521"/>
      <c r="F7" s="527"/>
      <c r="G7" s="527"/>
      <c r="H7" s="527"/>
      <c r="I7" s="527"/>
      <c r="J7" s="535"/>
      <c r="K7" s="540"/>
      <c r="L7" s="197" t="s">
        <v>16</v>
      </c>
      <c r="M7" s="532"/>
      <c r="N7" s="532"/>
      <c r="O7" s="543"/>
      <c r="P7" s="546"/>
      <c r="Q7" s="538"/>
      <c r="R7" s="538"/>
      <c r="S7" s="578"/>
      <c r="T7" s="580"/>
      <c r="U7" s="532"/>
      <c r="V7" s="525" t="s">
        <v>12</v>
      </c>
      <c r="W7" s="525" t="s">
        <v>13</v>
      </c>
      <c r="X7" s="525" t="s">
        <v>12</v>
      </c>
      <c r="Y7" s="525" t="s">
        <v>13</v>
      </c>
      <c r="Z7" s="525" t="s">
        <v>12</v>
      </c>
      <c r="AA7" s="525" t="s">
        <v>13</v>
      </c>
      <c r="AB7" s="525" t="s">
        <v>12</v>
      </c>
      <c r="AC7" s="525" t="s">
        <v>13</v>
      </c>
      <c r="AD7" s="525" t="s">
        <v>12</v>
      </c>
      <c r="AE7" s="523" t="s">
        <v>13</v>
      </c>
      <c r="AF7" s="525" t="s">
        <v>12</v>
      </c>
      <c r="AG7" s="523" t="s">
        <v>13</v>
      </c>
      <c r="AH7" s="525" t="s">
        <v>12</v>
      </c>
      <c r="AI7" s="523" t="s">
        <v>13</v>
      </c>
      <c r="AJ7" s="561" t="s">
        <v>12</v>
      </c>
      <c r="AK7" s="582" t="s">
        <v>13</v>
      </c>
    </row>
    <row r="8" spans="1:37" ht="30" customHeight="1" thickBot="1" x14ac:dyDescent="0.5">
      <c r="A8" s="513"/>
      <c r="B8" s="516"/>
      <c r="C8" s="519"/>
      <c r="D8" s="522"/>
      <c r="E8" s="522"/>
      <c r="F8" s="528"/>
      <c r="G8" s="528"/>
      <c r="H8" s="528"/>
      <c r="I8" s="528"/>
      <c r="J8" s="536"/>
      <c r="K8" s="541"/>
      <c r="L8" s="198"/>
      <c r="M8" s="533"/>
      <c r="N8" s="533"/>
      <c r="O8" s="544"/>
      <c r="P8" s="547"/>
      <c r="Q8" s="539"/>
      <c r="R8" s="539"/>
      <c r="S8" s="579"/>
      <c r="T8" s="581"/>
      <c r="U8" s="533"/>
      <c r="V8" s="526"/>
      <c r="W8" s="526"/>
      <c r="X8" s="526"/>
      <c r="Y8" s="526"/>
      <c r="Z8" s="526"/>
      <c r="AA8" s="526"/>
      <c r="AB8" s="526"/>
      <c r="AC8" s="526"/>
      <c r="AD8" s="526"/>
      <c r="AE8" s="524"/>
      <c r="AF8" s="526"/>
      <c r="AG8" s="524"/>
      <c r="AH8" s="526"/>
      <c r="AI8" s="524"/>
      <c r="AJ8" s="562"/>
      <c r="AK8" s="583"/>
    </row>
    <row r="9" spans="1:37" ht="48.65" customHeight="1" thickBot="1" x14ac:dyDescent="0.35">
      <c r="A9" s="245">
        <v>1</v>
      </c>
      <c r="B9" s="203" t="s">
        <v>35</v>
      </c>
      <c r="C9" s="204" t="s">
        <v>43</v>
      </c>
      <c r="D9" s="204" t="s">
        <v>47</v>
      </c>
      <c r="E9" s="205" t="s">
        <v>63</v>
      </c>
      <c r="F9" s="246"/>
      <c r="G9" s="206"/>
      <c r="H9" s="206"/>
      <c r="I9" s="206"/>
      <c r="J9" s="203">
        <v>7</v>
      </c>
      <c r="K9" s="204" t="s">
        <v>82</v>
      </c>
      <c r="L9" s="247" t="s">
        <v>85</v>
      </c>
      <c r="M9" s="203">
        <f>3376+1819</f>
        <v>5195</v>
      </c>
      <c r="N9" s="203">
        <f>22.73+23.09</f>
        <v>45.82</v>
      </c>
      <c r="O9" s="207">
        <f>(J9*2)+$O$2</f>
        <v>15.57</v>
      </c>
      <c r="P9" s="208">
        <f>(M9/N9)*O9</f>
        <v>1765.3022697512006</v>
      </c>
      <c r="Q9" s="209"/>
      <c r="R9" s="210"/>
      <c r="S9" s="211">
        <v>5000</v>
      </c>
      <c r="T9" s="204"/>
      <c r="U9" s="212"/>
      <c r="V9" s="203"/>
      <c r="W9" s="213"/>
      <c r="X9" s="203"/>
      <c r="Y9" s="213"/>
      <c r="Z9" s="287">
        <f>5000*AA9</f>
        <v>35000</v>
      </c>
      <c r="AA9" s="215">
        <f t="shared" ref="AA9:AA25" si="0">J9</f>
        <v>7</v>
      </c>
      <c r="AB9" s="214">
        <f>5000*AC9</f>
        <v>35000</v>
      </c>
      <c r="AC9" s="215">
        <f>AA9</f>
        <v>7</v>
      </c>
      <c r="AD9" s="214">
        <f>5000*AE9</f>
        <v>35000</v>
      </c>
      <c r="AE9" s="216">
        <f>AC9</f>
        <v>7</v>
      </c>
      <c r="AF9" s="214">
        <f>5000*AG9</f>
        <v>35000</v>
      </c>
      <c r="AG9" s="216">
        <f>AE9</f>
        <v>7</v>
      </c>
      <c r="AH9" s="214">
        <f>5000*AI9</f>
        <v>35000</v>
      </c>
      <c r="AI9" s="219">
        <f>AG9</f>
        <v>7</v>
      </c>
      <c r="AJ9" s="220"/>
      <c r="AK9" s="221"/>
    </row>
    <row r="10" spans="1:37" ht="48.65" customHeight="1" thickBot="1" x14ac:dyDescent="0.35">
      <c r="A10" s="130">
        <v>2</v>
      </c>
      <c r="B10" s="131" t="s">
        <v>36</v>
      </c>
      <c r="C10" s="132" t="s">
        <v>43</v>
      </c>
      <c r="D10" s="132" t="s">
        <v>48</v>
      </c>
      <c r="E10" s="133" t="s">
        <v>64</v>
      </c>
      <c r="F10" s="134"/>
      <c r="G10" s="134"/>
      <c r="H10" s="134"/>
      <c r="I10" s="134"/>
      <c r="J10" s="135">
        <v>6.5</v>
      </c>
      <c r="K10" s="132" t="s">
        <v>82</v>
      </c>
      <c r="L10" s="136" t="s">
        <v>85</v>
      </c>
      <c r="M10" s="135">
        <f>3376+1819+952</f>
        <v>6147</v>
      </c>
      <c r="N10" s="135">
        <f>22.73+23.09+11.4</f>
        <v>57.22</v>
      </c>
      <c r="O10" s="137">
        <f t="shared" ref="O10:O25" si="1">(J10*2)+$O$2</f>
        <v>14.57</v>
      </c>
      <c r="P10" s="125">
        <f t="shared" ref="P10:P25" si="2">(M10/N10)*O10</f>
        <v>1565.218280321566</v>
      </c>
      <c r="Q10" s="138"/>
      <c r="R10" s="139"/>
      <c r="S10" s="126">
        <v>5000</v>
      </c>
      <c r="T10" s="132"/>
      <c r="U10" s="127"/>
      <c r="V10" s="135"/>
      <c r="W10" s="200"/>
      <c r="X10" s="135"/>
      <c r="Y10" s="200"/>
      <c r="Z10" s="252">
        <f t="shared" ref="Z10:Z25" si="3">5000*AA10</f>
        <v>32500</v>
      </c>
      <c r="AA10" s="140">
        <f t="shared" si="0"/>
        <v>6.5</v>
      </c>
      <c r="AB10" s="128">
        <f t="shared" ref="AB10:AB25" si="4">5000*AC10</f>
        <v>32500</v>
      </c>
      <c r="AC10" s="140">
        <f t="shared" ref="AC10:AC25" si="5">AA10</f>
        <v>6.5</v>
      </c>
      <c r="AD10" s="128">
        <f t="shared" ref="AD10:AD25" si="6">5000*AE10</f>
        <v>32500</v>
      </c>
      <c r="AE10" s="141">
        <f t="shared" ref="AE10:AE25" si="7">AC10</f>
        <v>6.5</v>
      </c>
      <c r="AF10" s="214">
        <f t="shared" ref="AF10:AF25" si="8">5000*AG10</f>
        <v>32500</v>
      </c>
      <c r="AG10" s="141">
        <f t="shared" ref="AG10:AG25" si="9">AE10</f>
        <v>6.5</v>
      </c>
      <c r="AH10" s="128">
        <f t="shared" ref="AH10:AH25" si="10">5000*AI10</f>
        <v>32500</v>
      </c>
      <c r="AI10" s="143">
        <f t="shared" ref="AI10:AI25" si="11">AG10</f>
        <v>6.5</v>
      </c>
      <c r="AJ10" s="144"/>
      <c r="AK10" s="222"/>
    </row>
    <row r="11" spans="1:37" ht="48.65" customHeight="1" thickBot="1" x14ac:dyDescent="0.35">
      <c r="A11" s="145">
        <v>3</v>
      </c>
      <c r="B11" s="131" t="s">
        <v>37</v>
      </c>
      <c r="C11" s="132" t="s">
        <v>44</v>
      </c>
      <c r="D11" s="132" t="s">
        <v>49</v>
      </c>
      <c r="E11" s="133" t="s">
        <v>65</v>
      </c>
      <c r="F11" s="134"/>
      <c r="G11" s="134"/>
      <c r="H11" s="134"/>
      <c r="I11" s="134"/>
      <c r="J11" s="135">
        <v>10.5</v>
      </c>
      <c r="K11" s="132" t="s">
        <v>82</v>
      </c>
      <c r="L11" s="136" t="s">
        <v>85</v>
      </c>
      <c r="M11" s="135">
        <v>1077</v>
      </c>
      <c r="N11" s="135">
        <v>42.11</v>
      </c>
      <c r="O11" s="137">
        <f t="shared" si="1"/>
        <v>22.57</v>
      </c>
      <c r="P11" s="125">
        <f t="shared" si="2"/>
        <v>577.24744716219425</v>
      </c>
      <c r="Q11" s="138"/>
      <c r="R11" s="139"/>
      <c r="S11" s="126">
        <v>5000</v>
      </c>
      <c r="T11" s="132"/>
      <c r="U11" s="127"/>
      <c r="V11" s="135"/>
      <c r="W11" s="200"/>
      <c r="X11" s="135"/>
      <c r="Y11" s="200"/>
      <c r="Z11" s="252">
        <f t="shared" si="3"/>
        <v>52500</v>
      </c>
      <c r="AA11" s="140">
        <f t="shared" si="0"/>
        <v>10.5</v>
      </c>
      <c r="AB11" s="128">
        <f t="shared" si="4"/>
        <v>52500</v>
      </c>
      <c r="AC11" s="140">
        <f t="shared" si="5"/>
        <v>10.5</v>
      </c>
      <c r="AD11" s="128">
        <f t="shared" si="6"/>
        <v>52500</v>
      </c>
      <c r="AE11" s="141">
        <f t="shared" si="7"/>
        <v>10.5</v>
      </c>
      <c r="AF11" s="214">
        <f t="shared" si="8"/>
        <v>52500</v>
      </c>
      <c r="AG11" s="141">
        <f t="shared" si="9"/>
        <v>10.5</v>
      </c>
      <c r="AH11" s="128">
        <f t="shared" si="10"/>
        <v>52500</v>
      </c>
      <c r="AI11" s="143">
        <f t="shared" si="11"/>
        <v>10.5</v>
      </c>
      <c r="AJ11" s="144"/>
      <c r="AK11" s="222"/>
    </row>
    <row r="12" spans="1:37" ht="48.65" customHeight="1" thickBot="1" x14ac:dyDescent="0.35">
      <c r="A12" s="245">
        <v>4</v>
      </c>
      <c r="B12" s="135" t="s">
        <v>38</v>
      </c>
      <c r="C12" s="132" t="s">
        <v>45</v>
      </c>
      <c r="D12" s="132" t="s">
        <v>50</v>
      </c>
      <c r="E12" s="133" t="s">
        <v>66</v>
      </c>
      <c r="F12" s="134"/>
      <c r="G12" s="134"/>
      <c r="H12" s="134"/>
      <c r="I12" s="134"/>
      <c r="J12" s="135">
        <v>2.5</v>
      </c>
      <c r="K12" s="132" t="s">
        <v>137</v>
      </c>
      <c r="L12" s="146" t="s">
        <v>8</v>
      </c>
      <c r="M12" s="135">
        <f>15935+3078</f>
        <v>19013</v>
      </c>
      <c r="N12" s="135">
        <f>104.77+37.12</f>
        <v>141.88999999999999</v>
      </c>
      <c r="O12" s="137">
        <f t="shared" si="1"/>
        <v>6.57</v>
      </c>
      <c r="P12" s="125">
        <f t="shared" si="2"/>
        <v>880.36796109662419</v>
      </c>
      <c r="Q12" s="138"/>
      <c r="R12" s="139"/>
      <c r="S12" s="126">
        <v>5000</v>
      </c>
      <c r="T12" s="132"/>
      <c r="U12" s="127"/>
      <c r="V12" s="135"/>
      <c r="W12" s="200"/>
      <c r="X12" s="135"/>
      <c r="Y12" s="200"/>
      <c r="Z12" s="252">
        <f t="shared" si="3"/>
        <v>12500</v>
      </c>
      <c r="AA12" s="140">
        <f t="shared" si="0"/>
        <v>2.5</v>
      </c>
      <c r="AB12" s="128">
        <f t="shared" si="4"/>
        <v>12500</v>
      </c>
      <c r="AC12" s="140">
        <f t="shared" si="5"/>
        <v>2.5</v>
      </c>
      <c r="AD12" s="128">
        <f t="shared" si="6"/>
        <v>12500</v>
      </c>
      <c r="AE12" s="141">
        <f t="shared" si="7"/>
        <v>2.5</v>
      </c>
      <c r="AF12" s="214">
        <f t="shared" si="8"/>
        <v>12500</v>
      </c>
      <c r="AG12" s="141">
        <f t="shared" si="9"/>
        <v>2.5</v>
      </c>
      <c r="AH12" s="128">
        <f t="shared" si="10"/>
        <v>12500</v>
      </c>
      <c r="AI12" s="143">
        <f t="shared" si="11"/>
        <v>2.5</v>
      </c>
      <c r="AJ12" s="144"/>
      <c r="AK12" s="222"/>
    </row>
    <row r="13" spans="1:37" ht="48.65" customHeight="1" thickBot="1" x14ac:dyDescent="0.35">
      <c r="A13" s="130">
        <v>5</v>
      </c>
      <c r="B13" s="135" t="s">
        <v>38</v>
      </c>
      <c r="C13" s="132" t="s">
        <v>45</v>
      </c>
      <c r="D13" s="132" t="s">
        <v>51</v>
      </c>
      <c r="E13" s="133" t="s">
        <v>67</v>
      </c>
      <c r="F13" s="134"/>
      <c r="G13" s="134"/>
      <c r="H13" s="134"/>
      <c r="I13" s="134"/>
      <c r="J13" s="135">
        <v>1</v>
      </c>
      <c r="K13" s="132" t="s">
        <v>83</v>
      </c>
      <c r="L13" s="146" t="s">
        <v>8</v>
      </c>
      <c r="M13" s="135">
        <f>15935+3078</f>
        <v>19013</v>
      </c>
      <c r="N13" s="135">
        <f>104.77+37.12</f>
        <v>141.88999999999999</v>
      </c>
      <c r="O13" s="137">
        <f t="shared" si="1"/>
        <v>3.5700000000000003</v>
      </c>
      <c r="P13" s="125">
        <f t="shared" si="2"/>
        <v>478.37345831277759</v>
      </c>
      <c r="Q13" s="138"/>
      <c r="R13" s="139"/>
      <c r="S13" s="126">
        <v>5000</v>
      </c>
      <c r="T13" s="132"/>
      <c r="U13" s="127"/>
      <c r="V13" s="135"/>
      <c r="W13" s="200"/>
      <c r="X13" s="135"/>
      <c r="Y13" s="200"/>
      <c r="Z13" s="252">
        <f t="shared" si="3"/>
        <v>5000</v>
      </c>
      <c r="AA13" s="140">
        <f t="shared" si="0"/>
        <v>1</v>
      </c>
      <c r="AB13" s="128">
        <f t="shared" si="4"/>
        <v>5000</v>
      </c>
      <c r="AC13" s="140">
        <f t="shared" si="5"/>
        <v>1</v>
      </c>
      <c r="AD13" s="128">
        <f t="shared" si="6"/>
        <v>5000</v>
      </c>
      <c r="AE13" s="141">
        <f t="shared" si="7"/>
        <v>1</v>
      </c>
      <c r="AF13" s="214">
        <f t="shared" si="8"/>
        <v>5000</v>
      </c>
      <c r="AG13" s="141">
        <f t="shared" si="9"/>
        <v>1</v>
      </c>
      <c r="AH13" s="128">
        <f t="shared" si="10"/>
        <v>5000</v>
      </c>
      <c r="AI13" s="143">
        <f t="shared" si="11"/>
        <v>1</v>
      </c>
      <c r="AJ13" s="144"/>
      <c r="AK13" s="222"/>
    </row>
    <row r="14" spans="1:37" ht="48.65" customHeight="1" thickBot="1" x14ac:dyDescent="0.35">
      <c r="A14" s="145">
        <v>6</v>
      </c>
      <c r="B14" s="135" t="s">
        <v>39</v>
      </c>
      <c r="C14" s="132" t="s">
        <v>45</v>
      </c>
      <c r="D14" s="132" t="s">
        <v>52</v>
      </c>
      <c r="E14" s="133" t="s">
        <v>68</v>
      </c>
      <c r="F14" s="134"/>
      <c r="G14" s="134"/>
      <c r="H14" s="134"/>
      <c r="I14" s="134"/>
      <c r="J14" s="135">
        <v>7</v>
      </c>
      <c r="K14" s="132" t="s">
        <v>83</v>
      </c>
      <c r="L14" s="146" t="s">
        <v>8</v>
      </c>
      <c r="M14" s="135">
        <f>15935+2785</f>
        <v>18720</v>
      </c>
      <c r="N14" s="135">
        <f>104.77+76.28</f>
        <v>181.05</v>
      </c>
      <c r="O14" s="137">
        <f t="shared" si="1"/>
        <v>15.57</v>
      </c>
      <c r="P14" s="125">
        <f t="shared" si="2"/>
        <v>1609.8889809444904</v>
      </c>
      <c r="Q14" s="138"/>
      <c r="R14" s="139"/>
      <c r="S14" s="126">
        <v>5000</v>
      </c>
      <c r="T14" s="132"/>
      <c r="U14" s="127"/>
      <c r="V14" s="135"/>
      <c r="W14" s="200"/>
      <c r="X14" s="135"/>
      <c r="Y14" s="200"/>
      <c r="Z14" s="252">
        <f t="shared" si="3"/>
        <v>35000</v>
      </c>
      <c r="AA14" s="140">
        <f t="shared" si="0"/>
        <v>7</v>
      </c>
      <c r="AB14" s="128">
        <f t="shared" si="4"/>
        <v>35000</v>
      </c>
      <c r="AC14" s="140">
        <f t="shared" si="5"/>
        <v>7</v>
      </c>
      <c r="AD14" s="128">
        <f t="shared" si="6"/>
        <v>35000</v>
      </c>
      <c r="AE14" s="141">
        <f t="shared" si="7"/>
        <v>7</v>
      </c>
      <c r="AF14" s="214">
        <f t="shared" si="8"/>
        <v>35000</v>
      </c>
      <c r="AG14" s="141">
        <f t="shared" si="9"/>
        <v>7</v>
      </c>
      <c r="AH14" s="128">
        <f t="shared" si="10"/>
        <v>35000</v>
      </c>
      <c r="AI14" s="143">
        <f t="shared" si="11"/>
        <v>7</v>
      </c>
      <c r="AJ14" s="144"/>
      <c r="AK14" s="222"/>
    </row>
    <row r="15" spans="1:37" ht="48.65" customHeight="1" thickBot="1" x14ac:dyDescent="0.35">
      <c r="A15" s="245">
        <v>7</v>
      </c>
      <c r="B15" s="135" t="s">
        <v>40</v>
      </c>
      <c r="C15" s="132" t="s">
        <v>45</v>
      </c>
      <c r="D15" s="132" t="s">
        <v>53</v>
      </c>
      <c r="E15" s="133" t="s">
        <v>69</v>
      </c>
      <c r="F15" s="134"/>
      <c r="G15" s="134"/>
      <c r="H15" s="134"/>
      <c r="I15" s="134"/>
      <c r="J15" s="135">
        <v>2.65</v>
      </c>
      <c r="K15" s="132" t="s">
        <v>82</v>
      </c>
      <c r="L15" s="136" t="s">
        <v>85</v>
      </c>
      <c r="M15" s="135">
        <f>1222+4111</f>
        <v>5333</v>
      </c>
      <c r="N15" s="135">
        <f>21.93+43.4</f>
        <v>65.33</v>
      </c>
      <c r="O15" s="137">
        <f t="shared" si="1"/>
        <v>6.87</v>
      </c>
      <c r="P15" s="125">
        <f t="shared" si="2"/>
        <v>560.80988825960503</v>
      </c>
      <c r="Q15" s="138"/>
      <c r="R15" s="139"/>
      <c r="S15" s="126">
        <v>5000</v>
      </c>
      <c r="T15" s="132"/>
      <c r="U15" s="127"/>
      <c r="V15" s="135"/>
      <c r="W15" s="200"/>
      <c r="X15" s="135"/>
      <c r="Y15" s="200"/>
      <c r="Z15" s="252">
        <f t="shared" si="3"/>
        <v>13250</v>
      </c>
      <c r="AA15" s="140">
        <f t="shared" si="0"/>
        <v>2.65</v>
      </c>
      <c r="AB15" s="128">
        <f t="shared" si="4"/>
        <v>13250</v>
      </c>
      <c r="AC15" s="140">
        <f t="shared" si="5"/>
        <v>2.65</v>
      </c>
      <c r="AD15" s="128">
        <f t="shared" si="6"/>
        <v>13250</v>
      </c>
      <c r="AE15" s="141">
        <f t="shared" si="7"/>
        <v>2.65</v>
      </c>
      <c r="AF15" s="214">
        <f t="shared" si="8"/>
        <v>13250</v>
      </c>
      <c r="AG15" s="141">
        <f t="shared" si="9"/>
        <v>2.65</v>
      </c>
      <c r="AH15" s="128">
        <f t="shared" si="10"/>
        <v>13250</v>
      </c>
      <c r="AI15" s="143">
        <f t="shared" si="11"/>
        <v>2.65</v>
      </c>
      <c r="AJ15" s="144"/>
      <c r="AK15" s="222"/>
    </row>
    <row r="16" spans="1:37" ht="48.65" customHeight="1" thickBot="1" x14ac:dyDescent="0.35">
      <c r="A16" s="130">
        <v>8</v>
      </c>
      <c r="B16" s="135" t="s">
        <v>41</v>
      </c>
      <c r="C16" s="132" t="s">
        <v>46</v>
      </c>
      <c r="D16" s="132" t="s">
        <v>54</v>
      </c>
      <c r="E16" s="133" t="s">
        <v>70</v>
      </c>
      <c r="F16" s="134"/>
      <c r="G16" s="134"/>
      <c r="H16" s="134"/>
      <c r="I16" s="134"/>
      <c r="J16" s="135">
        <v>2.7</v>
      </c>
      <c r="K16" s="132" t="s">
        <v>82</v>
      </c>
      <c r="L16" s="146" t="s">
        <v>8</v>
      </c>
      <c r="M16" s="135">
        <v>2049</v>
      </c>
      <c r="N16" s="135">
        <v>71.5</v>
      </c>
      <c r="O16" s="137">
        <f t="shared" si="1"/>
        <v>6.9700000000000006</v>
      </c>
      <c r="P16" s="125">
        <f t="shared" si="2"/>
        <v>199.74167832167834</v>
      </c>
      <c r="Q16" s="138"/>
      <c r="R16" s="139"/>
      <c r="S16" s="126">
        <v>5000</v>
      </c>
      <c r="T16" s="147"/>
      <c r="U16" s="127"/>
      <c r="V16" s="135"/>
      <c r="W16" s="200"/>
      <c r="X16" s="135"/>
      <c r="Y16" s="200"/>
      <c r="Z16" s="252">
        <f t="shared" si="3"/>
        <v>13500</v>
      </c>
      <c r="AA16" s="140">
        <f t="shared" si="0"/>
        <v>2.7</v>
      </c>
      <c r="AB16" s="128">
        <f t="shared" si="4"/>
        <v>13500</v>
      </c>
      <c r="AC16" s="140">
        <f t="shared" si="5"/>
        <v>2.7</v>
      </c>
      <c r="AD16" s="128">
        <f t="shared" si="6"/>
        <v>13500</v>
      </c>
      <c r="AE16" s="141">
        <f t="shared" si="7"/>
        <v>2.7</v>
      </c>
      <c r="AF16" s="214">
        <f t="shared" si="8"/>
        <v>13500</v>
      </c>
      <c r="AG16" s="141">
        <f t="shared" si="9"/>
        <v>2.7</v>
      </c>
      <c r="AH16" s="128">
        <f t="shared" si="10"/>
        <v>13500</v>
      </c>
      <c r="AI16" s="143">
        <f t="shared" si="11"/>
        <v>2.7</v>
      </c>
      <c r="AJ16" s="144"/>
      <c r="AK16" s="222"/>
    </row>
    <row r="17" spans="1:37" ht="48.65" customHeight="1" thickBot="1" x14ac:dyDescent="0.35">
      <c r="A17" s="145">
        <v>9</v>
      </c>
      <c r="B17" s="135" t="s">
        <v>41</v>
      </c>
      <c r="C17" s="132" t="s">
        <v>46</v>
      </c>
      <c r="D17" s="132" t="s">
        <v>55</v>
      </c>
      <c r="E17" s="133" t="s">
        <v>71</v>
      </c>
      <c r="F17" s="132"/>
      <c r="G17" s="132"/>
      <c r="H17" s="132"/>
      <c r="I17" s="132"/>
      <c r="J17" s="135">
        <v>2.7</v>
      </c>
      <c r="K17" s="132" t="s">
        <v>82</v>
      </c>
      <c r="L17" s="146" t="s">
        <v>8</v>
      </c>
      <c r="M17" s="135">
        <f>2049+2363</f>
        <v>4412</v>
      </c>
      <c r="N17" s="135">
        <f>71.5+56.75</f>
        <v>128.25</v>
      </c>
      <c r="O17" s="137">
        <f t="shared" si="1"/>
        <v>6.9700000000000006</v>
      </c>
      <c r="P17" s="125">
        <f t="shared" si="2"/>
        <v>239.7788693957115</v>
      </c>
      <c r="Q17" s="138"/>
      <c r="R17" s="139"/>
      <c r="S17" s="126">
        <v>5000</v>
      </c>
      <c r="T17" s="147"/>
      <c r="U17" s="127"/>
      <c r="V17" s="135"/>
      <c r="W17" s="200"/>
      <c r="X17" s="135"/>
      <c r="Y17" s="200"/>
      <c r="Z17" s="252">
        <f t="shared" si="3"/>
        <v>13500</v>
      </c>
      <c r="AA17" s="140">
        <f t="shared" si="0"/>
        <v>2.7</v>
      </c>
      <c r="AB17" s="128">
        <f t="shared" si="4"/>
        <v>13500</v>
      </c>
      <c r="AC17" s="140">
        <f t="shared" si="5"/>
        <v>2.7</v>
      </c>
      <c r="AD17" s="128">
        <f t="shared" si="6"/>
        <v>13500</v>
      </c>
      <c r="AE17" s="141">
        <f t="shared" si="7"/>
        <v>2.7</v>
      </c>
      <c r="AF17" s="214">
        <f t="shared" si="8"/>
        <v>13500</v>
      </c>
      <c r="AG17" s="141">
        <f t="shared" si="9"/>
        <v>2.7</v>
      </c>
      <c r="AH17" s="128">
        <f t="shared" si="10"/>
        <v>13500</v>
      </c>
      <c r="AI17" s="143">
        <f t="shared" si="11"/>
        <v>2.7</v>
      </c>
      <c r="AJ17" s="144"/>
      <c r="AK17" s="222"/>
    </row>
    <row r="18" spans="1:37" ht="48.65" customHeight="1" thickBot="1" x14ac:dyDescent="0.35">
      <c r="A18" s="245">
        <v>10</v>
      </c>
      <c r="B18" s="131" t="s">
        <v>41</v>
      </c>
      <c r="C18" s="132" t="s">
        <v>46</v>
      </c>
      <c r="D18" s="132" t="s">
        <v>55</v>
      </c>
      <c r="E18" s="148" t="s">
        <v>72</v>
      </c>
      <c r="F18" s="134"/>
      <c r="G18" s="134"/>
      <c r="H18" s="134"/>
      <c r="I18" s="134"/>
      <c r="J18" s="135">
        <v>2.2999999999999998</v>
      </c>
      <c r="K18" s="132" t="s">
        <v>82</v>
      </c>
      <c r="L18" s="146" t="s">
        <v>8</v>
      </c>
      <c r="M18" s="135">
        <f>2049+2363</f>
        <v>4412</v>
      </c>
      <c r="N18" s="135">
        <f>71.5+56.75</f>
        <v>128.25</v>
      </c>
      <c r="O18" s="137">
        <f t="shared" si="1"/>
        <v>6.17</v>
      </c>
      <c r="P18" s="125">
        <f t="shared" si="2"/>
        <v>212.25762183235867</v>
      </c>
      <c r="Q18" s="138"/>
      <c r="R18" s="139"/>
      <c r="S18" s="126">
        <v>5000</v>
      </c>
      <c r="T18" s="132"/>
      <c r="U18" s="127"/>
      <c r="V18" s="135"/>
      <c r="W18" s="200"/>
      <c r="X18" s="135"/>
      <c r="Y18" s="200"/>
      <c r="Z18" s="252">
        <f t="shared" si="3"/>
        <v>11500</v>
      </c>
      <c r="AA18" s="140">
        <f t="shared" si="0"/>
        <v>2.2999999999999998</v>
      </c>
      <c r="AB18" s="128">
        <f t="shared" si="4"/>
        <v>11500</v>
      </c>
      <c r="AC18" s="140">
        <f t="shared" si="5"/>
        <v>2.2999999999999998</v>
      </c>
      <c r="AD18" s="128">
        <f t="shared" si="6"/>
        <v>11500</v>
      </c>
      <c r="AE18" s="141">
        <f t="shared" si="7"/>
        <v>2.2999999999999998</v>
      </c>
      <c r="AF18" s="214">
        <f t="shared" si="8"/>
        <v>11500</v>
      </c>
      <c r="AG18" s="141">
        <f t="shared" si="9"/>
        <v>2.2999999999999998</v>
      </c>
      <c r="AH18" s="128">
        <f t="shared" si="10"/>
        <v>11500</v>
      </c>
      <c r="AI18" s="143">
        <f t="shared" si="11"/>
        <v>2.2999999999999998</v>
      </c>
      <c r="AJ18" s="144"/>
      <c r="AK18" s="222"/>
    </row>
    <row r="19" spans="1:37" ht="48.65" customHeight="1" thickBot="1" x14ac:dyDescent="0.35">
      <c r="A19" s="130">
        <v>11</v>
      </c>
      <c r="B19" s="135" t="s">
        <v>41</v>
      </c>
      <c r="C19" s="132" t="s">
        <v>46</v>
      </c>
      <c r="D19" s="132" t="s">
        <v>56</v>
      </c>
      <c r="E19" s="149" t="s">
        <v>73</v>
      </c>
      <c r="F19" s="132"/>
      <c r="G19" s="132"/>
      <c r="H19" s="132"/>
      <c r="I19" s="132"/>
      <c r="J19" s="135">
        <v>2</v>
      </c>
      <c r="K19" s="132" t="s">
        <v>82</v>
      </c>
      <c r="L19" s="146" t="s">
        <v>8</v>
      </c>
      <c r="M19" s="135">
        <v>2049</v>
      </c>
      <c r="N19" s="135">
        <v>71.5</v>
      </c>
      <c r="O19" s="137">
        <f t="shared" si="1"/>
        <v>5.57</v>
      </c>
      <c r="P19" s="125">
        <f t="shared" si="2"/>
        <v>159.6213986013986</v>
      </c>
      <c r="Q19" s="138"/>
      <c r="R19" s="139"/>
      <c r="S19" s="126">
        <v>5000</v>
      </c>
      <c r="T19" s="132"/>
      <c r="U19" s="127"/>
      <c r="V19" s="135"/>
      <c r="W19" s="200"/>
      <c r="X19" s="135"/>
      <c r="Y19" s="200"/>
      <c r="Z19" s="252">
        <f t="shared" si="3"/>
        <v>10000</v>
      </c>
      <c r="AA19" s="140">
        <f t="shared" si="0"/>
        <v>2</v>
      </c>
      <c r="AB19" s="128">
        <f t="shared" si="4"/>
        <v>10000</v>
      </c>
      <c r="AC19" s="140">
        <f t="shared" si="5"/>
        <v>2</v>
      </c>
      <c r="AD19" s="128">
        <f t="shared" si="6"/>
        <v>10000</v>
      </c>
      <c r="AE19" s="141">
        <f t="shared" si="7"/>
        <v>2</v>
      </c>
      <c r="AF19" s="214">
        <f t="shared" si="8"/>
        <v>10000</v>
      </c>
      <c r="AG19" s="141">
        <f t="shared" si="9"/>
        <v>2</v>
      </c>
      <c r="AH19" s="128">
        <f t="shared" si="10"/>
        <v>10000</v>
      </c>
      <c r="AI19" s="143">
        <f t="shared" si="11"/>
        <v>2</v>
      </c>
      <c r="AJ19" s="144"/>
      <c r="AK19" s="222"/>
    </row>
    <row r="20" spans="1:37" ht="48.65" customHeight="1" thickBot="1" x14ac:dyDescent="0.35">
      <c r="A20" s="145">
        <v>12</v>
      </c>
      <c r="B20" s="131" t="s">
        <v>42</v>
      </c>
      <c r="C20" s="132" t="s">
        <v>45</v>
      </c>
      <c r="D20" s="132" t="s">
        <v>58</v>
      </c>
      <c r="E20" s="150" t="s">
        <v>76</v>
      </c>
      <c r="F20" s="134"/>
      <c r="G20" s="151"/>
      <c r="H20" s="151"/>
      <c r="I20" s="151"/>
      <c r="J20" s="135">
        <v>2.7</v>
      </c>
      <c r="K20" s="132" t="s">
        <v>82</v>
      </c>
      <c r="L20" s="152" t="s">
        <v>25</v>
      </c>
      <c r="M20" s="124">
        <v>4111</v>
      </c>
      <c r="N20" s="135">
        <v>43.4</v>
      </c>
      <c r="O20" s="137">
        <f t="shared" si="1"/>
        <v>6.9700000000000006</v>
      </c>
      <c r="P20" s="125">
        <f t="shared" si="2"/>
        <v>660.22281105990794</v>
      </c>
      <c r="Q20" s="138"/>
      <c r="R20" s="139"/>
      <c r="S20" s="126">
        <v>5000</v>
      </c>
      <c r="T20" s="132"/>
      <c r="U20" s="132"/>
      <c r="V20" s="138"/>
      <c r="W20" s="132"/>
      <c r="X20" s="138"/>
      <c r="Y20" s="167"/>
      <c r="Z20" s="252">
        <f t="shared" si="3"/>
        <v>13500</v>
      </c>
      <c r="AA20" s="140">
        <f t="shared" si="0"/>
        <v>2.7</v>
      </c>
      <c r="AB20" s="128">
        <f t="shared" si="4"/>
        <v>13500</v>
      </c>
      <c r="AC20" s="140">
        <f t="shared" si="5"/>
        <v>2.7</v>
      </c>
      <c r="AD20" s="128">
        <f t="shared" si="6"/>
        <v>13500</v>
      </c>
      <c r="AE20" s="141">
        <f t="shared" si="7"/>
        <v>2.7</v>
      </c>
      <c r="AF20" s="214">
        <f t="shared" si="8"/>
        <v>13500</v>
      </c>
      <c r="AG20" s="141">
        <f t="shared" si="9"/>
        <v>2.7</v>
      </c>
      <c r="AH20" s="128">
        <f t="shared" si="10"/>
        <v>13500</v>
      </c>
      <c r="AI20" s="143">
        <f t="shared" si="11"/>
        <v>2.7</v>
      </c>
      <c r="AJ20" s="144"/>
      <c r="AK20" s="222"/>
    </row>
    <row r="21" spans="1:37" ht="48.65" customHeight="1" thickBot="1" x14ac:dyDescent="0.35">
      <c r="A21" s="245">
        <v>13</v>
      </c>
      <c r="B21" s="131" t="s">
        <v>42</v>
      </c>
      <c r="C21" s="132" t="s">
        <v>46</v>
      </c>
      <c r="D21" s="132" t="s">
        <v>59</v>
      </c>
      <c r="E21" s="150" t="s">
        <v>77</v>
      </c>
      <c r="F21" s="134"/>
      <c r="G21" s="134"/>
      <c r="H21" s="134"/>
      <c r="I21" s="134"/>
      <c r="J21" s="135">
        <v>1.7</v>
      </c>
      <c r="K21" s="132" t="s">
        <v>82</v>
      </c>
      <c r="L21" s="152" t="s">
        <v>25</v>
      </c>
      <c r="M21" s="124">
        <f>2049+2363</f>
        <v>4412</v>
      </c>
      <c r="N21" s="135">
        <f>71.5+56.75</f>
        <v>128.25</v>
      </c>
      <c r="O21" s="137">
        <f t="shared" si="1"/>
        <v>4.97</v>
      </c>
      <c r="P21" s="125">
        <f t="shared" si="2"/>
        <v>170.97575048732941</v>
      </c>
      <c r="Q21" s="138"/>
      <c r="R21" s="139"/>
      <c r="S21" s="126">
        <v>5000</v>
      </c>
      <c r="T21" s="132"/>
      <c r="U21" s="132"/>
      <c r="V21" s="138"/>
      <c r="W21" s="132"/>
      <c r="X21" s="138"/>
      <c r="Y21" s="167"/>
      <c r="Z21" s="252">
        <f t="shared" si="3"/>
        <v>8500</v>
      </c>
      <c r="AA21" s="140">
        <f t="shared" si="0"/>
        <v>1.7</v>
      </c>
      <c r="AB21" s="128">
        <f t="shared" si="4"/>
        <v>8500</v>
      </c>
      <c r="AC21" s="140">
        <f t="shared" si="5"/>
        <v>1.7</v>
      </c>
      <c r="AD21" s="128">
        <f t="shared" si="6"/>
        <v>8500</v>
      </c>
      <c r="AE21" s="141">
        <f t="shared" si="7"/>
        <v>1.7</v>
      </c>
      <c r="AF21" s="214">
        <f t="shared" si="8"/>
        <v>8500</v>
      </c>
      <c r="AG21" s="141">
        <f t="shared" si="9"/>
        <v>1.7</v>
      </c>
      <c r="AH21" s="128">
        <f t="shared" si="10"/>
        <v>8500</v>
      </c>
      <c r="AI21" s="143">
        <f t="shared" si="11"/>
        <v>1.7</v>
      </c>
      <c r="AJ21" s="144"/>
      <c r="AK21" s="222"/>
    </row>
    <row r="22" spans="1:37" ht="48.65" customHeight="1" thickBot="1" x14ac:dyDescent="0.35">
      <c r="A22" s="130">
        <v>14</v>
      </c>
      <c r="B22" s="131" t="s">
        <v>42</v>
      </c>
      <c r="C22" s="132" t="s">
        <v>46</v>
      </c>
      <c r="D22" s="132" t="s">
        <v>60</v>
      </c>
      <c r="E22" s="150" t="s">
        <v>78</v>
      </c>
      <c r="F22" s="134"/>
      <c r="G22" s="134"/>
      <c r="H22" s="134"/>
      <c r="I22" s="134"/>
      <c r="J22" s="135">
        <v>2</v>
      </c>
      <c r="K22" s="132" t="s">
        <v>82</v>
      </c>
      <c r="L22" s="152" t="s">
        <v>25</v>
      </c>
      <c r="M22" s="124">
        <f>2049+2363</f>
        <v>4412</v>
      </c>
      <c r="N22" s="135">
        <f>71.5+56.75</f>
        <v>128.25</v>
      </c>
      <c r="O22" s="137">
        <f t="shared" si="1"/>
        <v>5.57</v>
      </c>
      <c r="P22" s="125">
        <f t="shared" si="2"/>
        <v>191.61668615984405</v>
      </c>
      <c r="Q22" s="138"/>
      <c r="R22" s="139"/>
      <c r="S22" s="126">
        <v>5000</v>
      </c>
      <c r="T22" s="132"/>
      <c r="U22" s="132"/>
      <c r="V22" s="138"/>
      <c r="W22" s="132"/>
      <c r="X22" s="138"/>
      <c r="Y22" s="167"/>
      <c r="Z22" s="252">
        <f t="shared" si="3"/>
        <v>10000</v>
      </c>
      <c r="AA22" s="140">
        <f t="shared" si="0"/>
        <v>2</v>
      </c>
      <c r="AB22" s="128">
        <f t="shared" si="4"/>
        <v>10000</v>
      </c>
      <c r="AC22" s="140">
        <f t="shared" si="5"/>
        <v>2</v>
      </c>
      <c r="AD22" s="128">
        <f t="shared" si="6"/>
        <v>10000</v>
      </c>
      <c r="AE22" s="141">
        <f t="shared" si="7"/>
        <v>2</v>
      </c>
      <c r="AF22" s="214">
        <f t="shared" si="8"/>
        <v>10000</v>
      </c>
      <c r="AG22" s="141">
        <f t="shared" si="9"/>
        <v>2</v>
      </c>
      <c r="AH22" s="128">
        <f t="shared" si="10"/>
        <v>10000</v>
      </c>
      <c r="AI22" s="143">
        <f t="shared" si="11"/>
        <v>2</v>
      </c>
      <c r="AJ22" s="144"/>
      <c r="AK22" s="222"/>
    </row>
    <row r="23" spans="1:37" ht="48.65" customHeight="1" thickBot="1" x14ac:dyDescent="0.35">
      <c r="A23" s="145">
        <v>15</v>
      </c>
      <c r="B23" s="131" t="s">
        <v>42</v>
      </c>
      <c r="C23" s="132" t="s">
        <v>46</v>
      </c>
      <c r="D23" s="132" t="s">
        <v>61</v>
      </c>
      <c r="E23" s="150" t="s">
        <v>79</v>
      </c>
      <c r="F23" s="132"/>
      <c r="G23" s="132"/>
      <c r="H23" s="132"/>
      <c r="I23" s="132"/>
      <c r="J23" s="135">
        <v>2</v>
      </c>
      <c r="K23" s="132" t="s">
        <v>82</v>
      </c>
      <c r="L23" s="152" t="s">
        <v>25</v>
      </c>
      <c r="M23" s="124">
        <v>2049</v>
      </c>
      <c r="N23" s="135">
        <v>71.5</v>
      </c>
      <c r="O23" s="137">
        <f t="shared" si="1"/>
        <v>5.57</v>
      </c>
      <c r="P23" s="125">
        <f t="shared" si="2"/>
        <v>159.6213986013986</v>
      </c>
      <c r="Q23" s="138"/>
      <c r="R23" s="139"/>
      <c r="S23" s="126">
        <v>5000</v>
      </c>
      <c r="T23" s="132"/>
      <c r="U23" s="132"/>
      <c r="V23" s="138"/>
      <c r="W23" s="132"/>
      <c r="X23" s="138"/>
      <c r="Y23" s="167"/>
      <c r="Z23" s="252">
        <f t="shared" si="3"/>
        <v>10000</v>
      </c>
      <c r="AA23" s="140">
        <f t="shared" si="0"/>
        <v>2</v>
      </c>
      <c r="AB23" s="128">
        <f t="shared" si="4"/>
        <v>10000</v>
      </c>
      <c r="AC23" s="140">
        <f t="shared" si="5"/>
        <v>2</v>
      </c>
      <c r="AD23" s="128">
        <f t="shared" si="6"/>
        <v>10000</v>
      </c>
      <c r="AE23" s="141">
        <f t="shared" si="7"/>
        <v>2</v>
      </c>
      <c r="AF23" s="214">
        <f t="shared" si="8"/>
        <v>10000</v>
      </c>
      <c r="AG23" s="141">
        <f t="shared" si="9"/>
        <v>2</v>
      </c>
      <c r="AH23" s="128">
        <f t="shared" si="10"/>
        <v>10000</v>
      </c>
      <c r="AI23" s="143">
        <f t="shared" si="11"/>
        <v>2</v>
      </c>
      <c r="AJ23" s="144"/>
      <c r="AK23" s="222"/>
    </row>
    <row r="24" spans="1:37" ht="48.65" customHeight="1" thickBot="1" x14ac:dyDescent="0.35">
      <c r="A24" s="245">
        <v>16</v>
      </c>
      <c r="B24" s="131" t="s">
        <v>42</v>
      </c>
      <c r="C24" s="132" t="s">
        <v>46</v>
      </c>
      <c r="D24" s="132" t="s">
        <v>62</v>
      </c>
      <c r="E24" s="150" t="s">
        <v>80</v>
      </c>
      <c r="F24" s="134"/>
      <c r="G24" s="134"/>
      <c r="H24" s="134"/>
      <c r="I24" s="134"/>
      <c r="J24" s="135">
        <v>2</v>
      </c>
      <c r="K24" s="132" t="s">
        <v>82</v>
      </c>
      <c r="L24" s="152" t="s">
        <v>25</v>
      </c>
      <c r="M24" s="124">
        <v>2049</v>
      </c>
      <c r="N24" s="135">
        <v>71.5</v>
      </c>
      <c r="O24" s="137">
        <f t="shared" si="1"/>
        <v>5.57</v>
      </c>
      <c r="P24" s="125">
        <f t="shared" si="2"/>
        <v>159.6213986013986</v>
      </c>
      <c r="Q24" s="138"/>
      <c r="R24" s="139"/>
      <c r="S24" s="126">
        <v>5000</v>
      </c>
      <c r="T24" s="132"/>
      <c r="U24" s="132"/>
      <c r="V24" s="138"/>
      <c r="W24" s="132"/>
      <c r="X24" s="138"/>
      <c r="Y24" s="167"/>
      <c r="Z24" s="252">
        <f t="shared" si="3"/>
        <v>10000</v>
      </c>
      <c r="AA24" s="140">
        <f t="shared" si="0"/>
        <v>2</v>
      </c>
      <c r="AB24" s="128">
        <f t="shared" si="4"/>
        <v>10000</v>
      </c>
      <c r="AC24" s="140">
        <f t="shared" si="5"/>
        <v>2</v>
      </c>
      <c r="AD24" s="128">
        <f t="shared" si="6"/>
        <v>10000</v>
      </c>
      <c r="AE24" s="141">
        <f t="shared" si="7"/>
        <v>2</v>
      </c>
      <c r="AF24" s="214">
        <f t="shared" si="8"/>
        <v>10000</v>
      </c>
      <c r="AG24" s="141">
        <f t="shared" si="9"/>
        <v>2</v>
      </c>
      <c r="AH24" s="128">
        <f t="shared" si="10"/>
        <v>10000</v>
      </c>
      <c r="AI24" s="143">
        <f t="shared" si="11"/>
        <v>2</v>
      </c>
      <c r="AJ24" s="144"/>
      <c r="AK24" s="222"/>
    </row>
    <row r="25" spans="1:37" ht="48.65" customHeight="1" x14ac:dyDescent="0.3">
      <c r="A25" s="130">
        <v>17</v>
      </c>
      <c r="B25" s="131" t="s">
        <v>42</v>
      </c>
      <c r="C25" s="132" t="s">
        <v>46</v>
      </c>
      <c r="D25" s="132" t="s">
        <v>62</v>
      </c>
      <c r="E25" s="150" t="s">
        <v>81</v>
      </c>
      <c r="F25" s="132"/>
      <c r="G25" s="132"/>
      <c r="H25" s="132"/>
      <c r="I25" s="132"/>
      <c r="J25" s="135">
        <v>2.7</v>
      </c>
      <c r="K25" s="132" t="s">
        <v>82</v>
      </c>
      <c r="L25" s="152" t="s">
        <v>25</v>
      </c>
      <c r="M25" s="124">
        <v>2049</v>
      </c>
      <c r="N25" s="135">
        <v>71.5</v>
      </c>
      <c r="O25" s="137">
        <f t="shared" si="1"/>
        <v>6.9700000000000006</v>
      </c>
      <c r="P25" s="125">
        <f t="shared" si="2"/>
        <v>199.74167832167834</v>
      </c>
      <c r="Q25" s="138"/>
      <c r="R25" s="139"/>
      <c r="S25" s="126">
        <v>5000</v>
      </c>
      <c r="T25" s="132"/>
      <c r="U25" s="132"/>
      <c r="V25" s="138"/>
      <c r="W25" s="132"/>
      <c r="X25" s="138"/>
      <c r="Y25" s="167"/>
      <c r="Z25" s="252">
        <f t="shared" si="3"/>
        <v>13500</v>
      </c>
      <c r="AA25" s="140">
        <f t="shared" si="0"/>
        <v>2.7</v>
      </c>
      <c r="AB25" s="128">
        <f t="shared" si="4"/>
        <v>13500</v>
      </c>
      <c r="AC25" s="140">
        <f t="shared" si="5"/>
        <v>2.7</v>
      </c>
      <c r="AD25" s="128">
        <f t="shared" si="6"/>
        <v>13500</v>
      </c>
      <c r="AE25" s="141">
        <f t="shared" si="7"/>
        <v>2.7</v>
      </c>
      <c r="AF25" s="214">
        <f t="shared" si="8"/>
        <v>13500</v>
      </c>
      <c r="AG25" s="141">
        <f t="shared" si="9"/>
        <v>2.7</v>
      </c>
      <c r="AH25" s="128">
        <f t="shared" si="10"/>
        <v>13500</v>
      </c>
      <c r="AI25" s="143">
        <f t="shared" si="11"/>
        <v>2.7</v>
      </c>
      <c r="AJ25" s="144"/>
      <c r="AK25" s="222"/>
    </row>
    <row r="26" spans="1:37" ht="18" customHeight="1" x14ac:dyDescent="0.3">
      <c r="A26" s="153"/>
      <c r="B26" s="154"/>
      <c r="C26" s="155"/>
      <c r="D26" s="155"/>
      <c r="E26" s="155"/>
      <c r="F26" s="155"/>
      <c r="G26" s="155"/>
      <c r="H26" s="155"/>
      <c r="I26" s="155"/>
      <c r="J26" s="156"/>
      <c r="K26" s="155"/>
      <c r="L26" s="157"/>
      <c r="M26" s="158"/>
      <c r="N26" s="158"/>
      <c r="O26" s="158"/>
      <c r="P26" s="159"/>
      <c r="Q26" s="160"/>
      <c r="R26" s="161"/>
      <c r="S26" s="162"/>
      <c r="T26" s="155"/>
      <c r="U26" s="155"/>
      <c r="V26" s="156"/>
      <c r="W26" s="155"/>
      <c r="X26" s="156"/>
      <c r="Y26" s="156"/>
      <c r="Z26" s="156"/>
      <c r="AA26" s="156"/>
      <c r="AB26" s="156"/>
      <c r="AC26" s="156"/>
      <c r="AD26" s="156"/>
      <c r="AE26" s="156"/>
      <c r="AF26" s="156"/>
      <c r="AG26" s="156"/>
      <c r="AH26" s="156"/>
      <c r="AI26" s="158"/>
      <c r="AJ26" s="163"/>
      <c r="AK26" s="223"/>
    </row>
    <row r="27" spans="1:37" ht="48.65" customHeight="1" x14ac:dyDescent="0.3">
      <c r="A27" s="145">
        <v>1</v>
      </c>
      <c r="B27" s="131" t="s">
        <v>35</v>
      </c>
      <c r="C27" s="132" t="s">
        <v>43</v>
      </c>
      <c r="D27" s="132" t="s">
        <v>120</v>
      </c>
      <c r="E27" s="150" t="s">
        <v>129</v>
      </c>
      <c r="F27" s="164">
        <v>126.799249</v>
      </c>
      <c r="G27" s="164">
        <v>-8.5845210000000005</v>
      </c>
      <c r="H27" s="164">
        <v>126.84336500000001</v>
      </c>
      <c r="I27" s="164">
        <v>-8.5632079999999995</v>
      </c>
      <c r="J27" s="135">
        <v>8</v>
      </c>
      <c r="K27" s="133" t="s">
        <v>23</v>
      </c>
      <c r="L27" s="146" t="s">
        <v>8</v>
      </c>
      <c r="M27" s="135">
        <f>1819+3376</f>
        <v>5195</v>
      </c>
      <c r="N27" s="135">
        <f>23.18+22.95</f>
        <v>46.129999999999995</v>
      </c>
      <c r="O27" s="132">
        <f t="shared" ref="O27:O48" si="12">(J27*2)+$O$2</f>
        <v>17.57</v>
      </c>
      <c r="P27" s="125">
        <f t="shared" ref="P27:P48" si="13">(M27/N27)*O27</f>
        <v>1978.6722306525041</v>
      </c>
      <c r="Q27" s="165">
        <f>(P27*R27)/S27</f>
        <v>0.19187124660872767</v>
      </c>
      <c r="R27" s="139">
        <v>20</v>
      </c>
      <c r="S27" s="139">
        <v>206250</v>
      </c>
      <c r="T27" s="350">
        <f>Z27+AB27+AD27+AF27</f>
        <v>1650000</v>
      </c>
      <c r="U27" s="166">
        <v>1</v>
      </c>
      <c r="V27" s="138"/>
      <c r="W27" s="167"/>
      <c r="X27" s="135"/>
      <c r="Y27" s="167"/>
      <c r="Z27" s="168">
        <f>S27*AA27</f>
        <v>412500</v>
      </c>
      <c r="AA27" s="169">
        <v>2</v>
      </c>
      <c r="AB27" s="170">
        <f t="shared" ref="AB27" si="14">S27*AC27</f>
        <v>412500</v>
      </c>
      <c r="AC27" s="171">
        <v>2</v>
      </c>
      <c r="AD27" s="168">
        <f>S27*AE27</f>
        <v>412500</v>
      </c>
      <c r="AE27" s="172">
        <f>AC27</f>
        <v>2</v>
      </c>
      <c r="AF27" s="168">
        <f>S27*AG27</f>
        <v>412500</v>
      </c>
      <c r="AG27" s="172">
        <v>2</v>
      </c>
      <c r="AH27" s="174">
        <f>5000*AI27</f>
        <v>40000</v>
      </c>
      <c r="AI27" s="143">
        <v>8</v>
      </c>
      <c r="AJ27" s="144"/>
      <c r="AK27" s="222"/>
    </row>
    <row r="28" spans="1:37" ht="48.65" customHeight="1" x14ac:dyDescent="0.3">
      <c r="A28" s="145">
        <v>2</v>
      </c>
      <c r="B28" s="131" t="s">
        <v>92</v>
      </c>
      <c r="C28" s="132" t="s">
        <v>44</v>
      </c>
      <c r="D28" s="132" t="s">
        <v>122</v>
      </c>
      <c r="E28" s="150" t="s">
        <v>118</v>
      </c>
      <c r="F28" s="175">
        <v>126.83092600000001</v>
      </c>
      <c r="G28" s="175">
        <v>-8.4245789999999996</v>
      </c>
      <c r="H28" s="175">
        <v>126.888716</v>
      </c>
      <c r="I28" s="175">
        <v>-8.4564819999999994</v>
      </c>
      <c r="J28" s="135">
        <v>7.9</v>
      </c>
      <c r="K28" s="176" t="s">
        <v>145</v>
      </c>
      <c r="L28" s="146" t="s">
        <v>8</v>
      </c>
      <c r="M28" s="135">
        <f>1603+1728</f>
        <v>3331</v>
      </c>
      <c r="N28" s="177">
        <f>45.26+38.23</f>
        <v>83.49</v>
      </c>
      <c r="O28" s="132">
        <f t="shared" si="12"/>
        <v>17.37</v>
      </c>
      <c r="P28" s="125">
        <f t="shared" si="13"/>
        <v>693.01077973409997</v>
      </c>
      <c r="Q28" s="165">
        <f t="shared" ref="Q28:Q48" si="15">(P28*R28)/S28</f>
        <v>6.0480940776794175E-2</v>
      </c>
      <c r="R28" s="139">
        <v>18</v>
      </c>
      <c r="S28" s="139">
        <v>206250</v>
      </c>
      <c r="T28" s="350">
        <f>Z28+AB28+AD28+AF28</f>
        <v>1629375</v>
      </c>
      <c r="U28" s="166">
        <v>2</v>
      </c>
      <c r="V28" s="138"/>
      <c r="W28" s="167"/>
      <c r="X28" s="135"/>
      <c r="Y28" s="167"/>
      <c r="Z28" s="168">
        <f>S28*AA28</f>
        <v>408375</v>
      </c>
      <c r="AA28" s="266">
        <v>1.98</v>
      </c>
      <c r="AB28" s="170">
        <f>S28*AC28</f>
        <v>412500</v>
      </c>
      <c r="AC28" s="263">
        <v>2</v>
      </c>
      <c r="AD28" s="170">
        <f>S28*AE28</f>
        <v>412500</v>
      </c>
      <c r="AE28" s="263">
        <v>2</v>
      </c>
      <c r="AF28" s="170">
        <f>S28*AG28</f>
        <v>396000</v>
      </c>
      <c r="AG28" s="263">
        <v>1.92</v>
      </c>
      <c r="AH28" s="272">
        <f>5000*AI28</f>
        <v>39500</v>
      </c>
      <c r="AI28" s="140">
        <v>7.9</v>
      </c>
      <c r="AJ28" s="144"/>
      <c r="AK28" s="284"/>
    </row>
    <row r="29" spans="1:37" ht="48.65" customHeight="1" x14ac:dyDescent="0.3">
      <c r="A29" s="145">
        <v>3</v>
      </c>
      <c r="B29" s="131" t="s">
        <v>86</v>
      </c>
      <c r="C29" s="132" t="s">
        <v>43</v>
      </c>
      <c r="D29" s="132" t="s">
        <v>130</v>
      </c>
      <c r="E29" s="150" t="s">
        <v>109</v>
      </c>
      <c r="F29" s="175">
        <v>126.826787</v>
      </c>
      <c r="G29" s="175">
        <v>-8.5382250000000006</v>
      </c>
      <c r="H29" s="175">
        <v>126.779279</v>
      </c>
      <c r="I29" s="175">
        <v>-8.5248629999999999</v>
      </c>
      <c r="J29" s="135">
        <v>4.75</v>
      </c>
      <c r="K29" s="133" t="s">
        <v>23</v>
      </c>
      <c r="L29" s="146" t="s">
        <v>8</v>
      </c>
      <c r="M29" s="135">
        <f>952+1662</f>
        <v>2614</v>
      </c>
      <c r="N29" s="135">
        <f>11.38+16.37</f>
        <v>27.75</v>
      </c>
      <c r="O29" s="132">
        <f t="shared" si="12"/>
        <v>11.07</v>
      </c>
      <c r="P29" s="125">
        <f t="shared" si="13"/>
        <v>1042.774054054054</v>
      </c>
      <c r="Q29" s="165">
        <f t="shared" si="15"/>
        <v>0.10111748402948403</v>
      </c>
      <c r="R29" s="139">
        <v>20</v>
      </c>
      <c r="S29" s="139">
        <v>206250</v>
      </c>
      <c r="T29" s="132"/>
      <c r="U29" s="166">
        <v>3</v>
      </c>
      <c r="V29" s="138"/>
      <c r="W29" s="167"/>
      <c r="X29" s="135"/>
      <c r="Y29" s="167"/>
      <c r="Z29" s="265"/>
      <c r="AA29" s="267"/>
      <c r="AB29" s="256"/>
      <c r="AC29" s="270"/>
      <c r="AD29" s="173">
        <f>5000*AE29</f>
        <v>23750</v>
      </c>
      <c r="AE29" s="280">
        <v>4.75</v>
      </c>
      <c r="AF29" s="173">
        <f>5000*AG29</f>
        <v>23750</v>
      </c>
      <c r="AG29" s="280">
        <v>4.75</v>
      </c>
      <c r="AH29" s="174">
        <f t="shared" ref="AH29:AH33" si="16">5000*AI29</f>
        <v>23750</v>
      </c>
      <c r="AI29" s="281">
        <v>4.75</v>
      </c>
      <c r="AJ29" s="144"/>
      <c r="AK29" s="284"/>
    </row>
    <row r="30" spans="1:37" ht="48.65" customHeight="1" x14ac:dyDescent="0.3">
      <c r="A30" s="145">
        <v>4</v>
      </c>
      <c r="B30" s="131" t="s">
        <v>42</v>
      </c>
      <c r="C30" s="132" t="s">
        <v>45</v>
      </c>
      <c r="D30" s="132" t="s">
        <v>127</v>
      </c>
      <c r="E30" s="133" t="s">
        <v>106</v>
      </c>
      <c r="F30" s="175">
        <v>127.01532400000001</v>
      </c>
      <c r="G30" s="175">
        <v>-8.4430669999999992</v>
      </c>
      <c r="H30" s="175">
        <v>127.03996600000001</v>
      </c>
      <c r="I30" s="175">
        <v>-8.4615939999999998</v>
      </c>
      <c r="J30" s="135">
        <v>4.2</v>
      </c>
      <c r="K30" s="133" t="s">
        <v>23</v>
      </c>
      <c r="L30" s="146" t="s">
        <v>8</v>
      </c>
      <c r="M30" s="135">
        <v>3754</v>
      </c>
      <c r="N30" s="135">
        <v>99.33</v>
      </c>
      <c r="O30" s="132">
        <f t="shared" si="12"/>
        <v>9.9700000000000006</v>
      </c>
      <c r="P30" s="125">
        <f t="shared" si="13"/>
        <v>376.79834893788387</v>
      </c>
      <c r="Q30" s="165">
        <f t="shared" si="15"/>
        <v>4.8230188664049135E-2</v>
      </c>
      <c r="R30" s="139">
        <v>20</v>
      </c>
      <c r="S30" s="139">
        <v>156250</v>
      </c>
      <c r="T30" s="132"/>
      <c r="U30" s="166">
        <v>4</v>
      </c>
      <c r="V30" s="138"/>
      <c r="W30" s="132"/>
      <c r="X30" s="138"/>
      <c r="Y30" s="132"/>
      <c r="Z30" s="253"/>
      <c r="AA30" s="254"/>
      <c r="AB30" s="282"/>
      <c r="AC30" s="273"/>
      <c r="AD30" s="173">
        <f>5000*AE30</f>
        <v>21000</v>
      </c>
      <c r="AE30" s="280">
        <v>4.2</v>
      </c>
      <c r="AF30" s="173">
        <f>5000*AG30</f>
        <v>21000</v>
      </c>
      <c r="AG30" s="280">
        <v>4.2</v>
      </c>
      <c r="AH30" s="174">
        <f t="shared" si="16"/>
        <v>21000</v>
      </c>
      <c r="AI30" s="143">
        <v>4.2</v>
      </c>
      <c r="AJ30" s="144"/>
      <c r="AK30" s="222"/>
    </row>
    <row r="31" spans="1:37" ht="48.65" customHeight="1" x14ac:dyDescent="0.3">
      <c r="A31" s="145">
        <v>5</v>
      </c>
      <c r="B31" s="131" t="s">
        <v>42</v>
      </c>
      <c r="C31" s="132" t="s">
        <v>46</v>
      </c>
      <c r="D31" s="132" t="s">
        <v>125</v>
      </c>
      <c r="E31" s="133" t="s">
        <v>103</v>
      </c>
      <c r="F31" s="175">
        <v>126.85367100000001</v>
      </c>
      <c r="G31" s="175">
        <v>-8.7392339999999997</v>
      </c>
      <c r="H31" s="175">
        <v>126.860315</v>
      </c>
      <c r="I31" s="175">
        <v>-8.7382530000000003</v>
      </c>
      <c r="J31" s="135">
        <v>8.5</v>
      </c>
      <c r="K31" s="133" t="s">
        <v>84</v>
      </c>
      <c r="L31" s="146" t="s">
        <v>8</v>
      </c>
      <c r="M31" s="135">
        <v>2707</v>
      </c>
      <c r="N31" s="135">
        <v>52.84</v>
      </c>
      <c r="O31" s="132">
        <f t="shared" si="12"/>
        <v>18.57</v>
      </c>
      <c r="P31" s="125">
        <f t="shared" si="13"/>
        <v>951.34348978046933</v>
      </c>
      <c r="Q31" s="165">
        <f t="shared" si="15"/>
        <v>6.9188617438579583E-2</v>
      </c>
      <c r="R31" s="139">
        <v>15</v>
      </c>
      <c r="S31" s="139">
        <v>206250</v>
      </c>
      <c r="T31" s="167">
        <f>AB31+AD31+AF31+AH31</f>
        <v>1258125</v>
      </c>
      <c r="U31" s="166">
        <v>5</v>
      </c>
      <c r="V31" s="138"/>
      <c r="W31" s="132"/>
      <c r="X31" s="138"/>
      <c r="Y31" s="132"/>
      <c r="Z31" s="253"/>
      <c r="AA31" s="267"/>
      <c r="AB31" s="275">
        <f>S31*AC31</f>
        <v>330000</v>
      </c>
      <c r="AC31" s="263">
        <v>1.6</v>
      </c>
      <c r="AD31" s="168">
        <f>S31*AE31</f>
        <v>247500</v>
      </c>
      <c r="AE31" s="274">
        <v>1.2</v>
      </c>
      <c r="AF31" s="168">
        <f>S31*AG31</f>
        <v>268125</v>
      </c>
      <c r="AG31" s="274">
        <v>1.3</v>
      </c>
      <c r="AH31" s="168">
        <f>S31*AI31</f>
        <v>412500</v>
      </c>
      <c r="AI31" s="274">
        <v>2</v>
      </c>
      <c r="AJ31" s="283"/>
      <c r="AK31" s="222"/>
    </row>
    <row r="32" spans="1:37" ht="48.65" customHeight="1" x14ac:dyDescent="0.3">
      <c r="A32" s="145">
        <v>6</v>
      </c>
      <c r="B32" s="131" t="s">
        <v>42</v>
      </c>
      <c r="C32" s="132" t="s">
        <v>44</v>
      </c>
      <c r="D32" s="132" t="s">
        <v>131</v>
      </c>
      <c r="E32" s="150" t="s">
        <v>110</v>
      </c>
      <c r="F32" s="175">
        <v>126.976018</v>
      </c>
      <c r="G32" s="175">
        <v>-8.3452190000000002</v>
      </c>
      <c r="H32" s="175">
        <v>127.022965</v>
      </c>
      <c r="I32" s="175">
        <v>-8.3686530000000001</v>
      </c>
      <c r="J32" s="135">
        <v>7.5</v>
      </c>
      <c r="K32" s="133" t="s">
        <v>146</v>
      </c>
      <c r="L32" s="146" t="s">
        <v>8</v>
      </c>
      <c r="M32" s="135">
        <f>3709+3345</f>
        <v>7054</v>
      </c>
      <c r="N32" s="135">
        <f>59.77+82.14</f>
        <v>141.91</v>
      </c>
      <c r="O32" s="132">
        <f t="shared" si="12"/>
        <v>16.57</v>
      </c>
      <c r="P32" s="125">
        <f t="shared" si="13"/>
        <v>823.6542879289691</v>
      </c>
      <c r="Q32" s="165">
        <f t="shared" si="15"/>
        <v>4.4926597523398309E-2</v>
      </c>
      <c r="R32" s="139">
        <v>15</v>
      </c>
      <c r="S32" s="139">
        <v>275000</v>
      </c>
      <c r="T32" s="350">
        <f>AH32</f>
        <v>412500</v>
      </c>
      <c r="U32" s="166">
        <v>6</v>
      </c>
      <c r="V32" s="138"/>
      <c r="W32" s="132"/>
      <c r="X32" s="138"/>
      <c r="Y32" s="132"/>
      <c r="Z32" s="138"/>
      <c r="AA32" s="132"/>
      <c r="AB32" s="278"/>
      <c r="AC32" s="267"/>
      <c r="AD32" s="253"/>
      <c r="AE32" s="276"/>
      <c r="AF32" s="265"/>
      <c r="AG32" s="138"/>
      <c r="AH32" s="262">
        <f>S32*AI32</f>
        <v>412500</v>
      </c>
      <c r="AI32" s="285">
        <v>1.5</v>
      </c>
      <c r="AJ32" s="283"/>
      <c r="AK32" s="222"/>
    </row>
    <row r="33" spans="1:37" ht="48.65" customHeight="1" x14ac:dyDescent="0.3">
      <c r="A33" s="145">
        <v>7</v>
      </c>
      <c r="B33" s="131" t="s">
        <v>42</v>
      </c>
      <c r="C33" s="179" t="s">
        <v>95</v>
      </c>
      <c r="D33" s="179" t="s">
        <v>141</v>
      </c>
      <c r="E33" s="179" t="s">
        <v>140</v>
      </c>
      <c r="F33" s="175">
        <v>127.00926</v>
      </c>
      <c r="G33" s="175">
        <v>-8.6153080000000006</v>
      </c>
      <c r="H33" s="175">
        <v>127.007327</v>
      </c>
      <c r="I33" s="175">
        <v>-8.6199340000000007</v>
      </c>
      <c r="J33" s="166">
        <v>1.5</v>
      </c>
      <c r="K33" s="179" t="s">
        <v>23</v>
      </c>
      <c r="L33" s="180" t="s">
        <v>8</v>
      </c>
      <c r="M33" s="135">
        <f>3708+1655</f>
        <v>5363</v>
      </c>
      <c r="N33" s="135">
        <f>133.77+23.89</f>
        <v>157.66000000000003</v>
      </c>
      <c r="O33" s="132">
        <f t="shared" si="12"/>
        <v>4.57</v>
      </c>
      <c r="P33" s="125">
        <f t="shared" si="13"/>
        <v>155.45420525180768</v>
      </c>
      <c r="Q33" s="165">
        <f t="shared" si="15"/>
        <v>1.5074347175932866E-2</v>
      </c>
      <c r="R33" s="132">
        <v>20</v>
      </c>
      <c r="S33" s="181">
        <v>206250</v>
      </c>
      <c r="T33" s="350">
        <f>Z33</f>
        <v>309375</v>
      </c>
      <c r="U33" s="166">
        <v>7</v>
      </c>
      <c r="V33" s="132"/>
      <c r="W33" s="132"/>
      <c r="X33" s="132"/>
      <c r="Y33" s="132"/>
      <c r="Z33" s="257">
        <f>S33*AA33</f>
        <v>309375</v>
      </c>
      <c r="AA33" s="279">
        <v>1.5</v>
      </c>
      <c r="AB33" s="141">
        <f>5000*AC33</f>
        <v>7500</v>
      </c>
      <c r="AC33" s="271">
        <v>1.5</v>
      </c>
      <c r="AD33" s="173">
        <f>5000*AE33</f>
        <v>7500</v>
      </c>
      <c r="AE33" s="280">
        <v>1.5</v>
      </c>
      <c r="AF33" s="173">
        <f>5000*AG33</f>
        <v>7500</v>
      </c>
      <c r="AG33" s="281">
        <v>1.5</v>
      </c>
      <c r="AH33" s="174">
        <f t="shared" si="16"/>
        <v>7500</v>
      </c>
      <c r="AI33" s="286">
        <v>1.5</v>
      </c>
      <c r="AJ33" s="283"/>
      <c r="AK33" s="222"/>
    </row>
    <row r="34" spans="1:37" ht="48.65" customHeight="1" x14ac:dyDescent="0.3">
      <c r="A34" s="145">
        <v>8</v>
      </c>
      <c r="B34" s="131" t="s">
        <v>90</v>
      </c>
      <c r="C34" s="132" t="s">
        <v>44</v>
      </c>
      <c r="D34" s="132" t="s">
        <v>121</v>
      </c>
      <c r="E34" s="150" t="s">
        <v>115</v>
      </c>
      <c r="F34" s="175">
        <v>126.93129999999999</v>
      </c>
      <c r="G34" s="175">
        <v>-8.3599370000000004</v>
      </c>
      <c r="H34" s="175">
        <v>126.976018</v>
      </c>
      <c r="I34" s="175">
        <v>-8.3452190000000002</v>
      </c>
      <c r="J34" s="135">
        <v>7.9</v>
      </c>
      <c r="K34" s="133" t="s">
        <v>24</v>
      </c>
      <c r="L34" s="146" t="s">
        <v>8</v>
      </c>
      <c r="M34" s="135">
        <v>3345</v>
      </c>
      <c r="N34" s="135">
        <v>82.14</v>
      </c>
      <c r="O34" s="132">
        <f t="shared" si="12"/>
        <v>17.37</v>
      </c>
      <c r="P34" s="125">
        <f t="shared" si="13"/>
        <v>707.36121256391527</v>
      </c>
      <c r="Q34" s="165">
        <f t="shared" si="15"/>
        <v>3.4296301215220135E-2</v>
      </c>
      <c r="R34" s="139">
        <v>10</v>
      </c>
      <c r="S34" s="139">
        <v>206250</v>
      </c>
      <c r="T34" s="350">
        <f>AH34</f>
        <v>247500</v>
      </c>
      <c r="U34" s="166">
        <v>8</v>
      </c>
      <c r="V34" s="138"/>
      <c r="W34" s="132"/>
      <c r="X34" s="138"/>
      <c r="Y34" s="167"/>
      <c r="Z34" s="256"/>
      <c r="AA34" s="270"/>
      <c r="AB34" s="138"/>
      <c r="AC34" s="268"/>
      <c r="AD34" s="253"/>
      <c r="AE34" s="138"/>
      <c r="AF34" s="253"/>
      <c r="AG34" s="260"/>
      <c r="AH34" s="262">
        <f>S34*AI34</f>
        <v>247500</v>
      </c>
      <c r="AI34" s="279">
        <v>1.2</v>
      </c>
      <c r="AJ34" s="144"/>
      <c r="AK34" s="222"/>
    </row>
    <row r="35" spans="1:37" ht="48.65" customHeight="1" x14ac:dyDescent="0.3">
      <c r="A35" s="145">
        <v>9</v>
      </c>
      <c r="B35" s="135" t="s">
        <v>42</v>
      </c>
      <c r="C35" s="132" t="s">
        <v>44</v>
      </c>
      <c r="D35" s="132" t="s">
        <v>126</v>
      </c>
      <c r="E35" s="133" t="s">
        <v>105</v>
      </c>
      <c r="F35" s="166">
        <v>126.882902</v>
      </c>
      <c r="G35" s="166">
        <v>-8.4679020000000005</v>
      </c>
      <c r="H35" s="166">
        <v>126.885096</v>
      </c>
      <c r="I35" s="166">
        <v>-8.4903739999999992</v>
      </c>
      <c r="J35" s="135">
        <v>3.5</v>
      </c>
      <c r="K35" s="133" t="s">
        <v>84</v>
      </c>
      <c r="L35" s="146" t="s">
        <v>8</v>
      </c>
      <c r="M35" s="135">
        <v>2515</v>
      </c>
      <c r="N35" s="135">
        <v>61.27</v>
      </c>
      <c r="O35" s="132">
        <f t="shared" si="12"/>
        <v>8.57</v>
      </c>
      <c r="P35" s="125">
        <f t="shared" si="13"/>
        <v>351.77982699526689</v>
      </c>
      <c r="Q35" s="165">
        <f t="shared" si="15"/>
        <v>2.558398741783759E-2</v>
      </c>
      <c r="R35" s="139">
        <v>15</v>
      </c>
      <c r="S35" s="139">
        <v>206250</v>
      </c>
      <c r="T35" s="132"/>
      <c r="U35" s="166">
        <v>9</v>
      </c>
      <c r="V35" s="138"/>
      <c r="W35" s="132"/>
      <c r="X35" s="269"/>
      <c r="Y35" s="167"/>
      <c r="Z35" s="135"/>
      <c r="AA35" s="273"/>
      <c r="AB35" s="138"/>
      <c r="AC35" s="254"/>
      <c r="AD35" s="277"/>
      <c r="AE35" s="138"/>
      <c r="AF35" s="253"/>
      <c r="AG35" s="260"/>
      <c r="AH35" s="181"/>
      <c r="AI35" s="261"/>
      <c r="AJ35" s="144"/>
      <c r="AK35" s="222"/>
    </row>
    <row r="36" spans="1:37" ht="48.65" customHeight="1" x14ac:dyDescent="0.3">
      <c r="A36" s="145">
        <v>10</v>
      </c>
      <c r="B36" s="131" t="s">
        <v>89</v>
      </c>
      <c r="C36" s="132" t="s">
        <v>44</v>
      </c>
      <c r="D36" s="132" t="s">
        <v>134</v>
      </c>
      <c r="E36" s="133" t="s">
        <v>114</v>
      </c>
      <c r="F36" s="166">
        <v>126.911095</v>
      </c>
      <c r="G36" s="166">
        <v>-8.4023389999999996</v>
      </c>
      <c r="H36" s="175">
        <v>126.93129999999999</v>
      </c>
      <c r="I36" s="175">
        <v>-8.3599370000000004</v>
      </c>
      <c r="J36" s="135">
        <v>5.7</v>
      </c>
      <c r="K36" s="133" t="s">
        <v>24</v>
      </c>
      <c r="L36" s="146" t="s">
        <v>8</v>
      </c>
      <c r="M36" s="135">
        <f>2124+3345</f>
        <v>5469</v>
      </c>
      <c r="N36" s="135">
        <f>20.62+82.14</f>
        <v>102.76</v>
      </c>
      <c r="O36" s="132">
        <f t="shared" si="12"/>
        <v>12.97</v>
      </c>
      <c r="P36" s="125">
        <f t="shared" si="13"/>
        <v>690.27763721292331</v>
      </c>
      <c r="Q36" s="165">
        <f t="shared" si="15"/>
        <v>3.3468006652747795E-2</v>
      </c>
      <c r="R36" s="139">
        <v>10</v>
      </c>
      <c r="S36" s="139">
        <v>206250</v>
      </c>
      <c r="T36" s="132"/>
      <c r="U36" s="166">
        <v>10</v>
      </c>
      <c r="V36" s="138"/>
      <c r="W36" s="132"/>
      <c r="X36" s="138"/>
      <c r="Y36" s="132"/>
      <c r="Z36" s="138"/>
      <c r="AA36" s="132"/>
      <c r="AB36" s="138"/>
      <c r="AC36" s="254"/>
      <c r="AD36" s="265"/>
      <c r="AE36" s="138"/>
      <c r="AF36" s="253"/>
      <c r="AG36" s="260"/>
      <c r="AH36" s="181"/>
      <c r="AI36" s="261"/>
      <c r="AJ36" s="144"/>
      <c r="AK36" s="222"/>
    </row>
    <row r="37" spans="1:37" ht="48.65" customHeight="1" x14ac:dyDescent="0.3">
      <c r="A37" s="145">
        <v>11</v>
      </c>
      <c r="B37" s="135" t="s">
        <v>93</v>
      </c>
      <c r="C37" s="132" t="s">
        <v>45</v>
      </c>
      <c r="D37" s="132" t="s">
        <v>58</v>
      </c>
      <c r="E37" s="133" t="s">
        <v>96</v>
      </c>
      <c r="F37" s="164">
        <v>126.951606</v>
      </c>
      <c r="G37" s="164">
        <v>-8.5208480000000009</v>
      </c>
      <c r="H37" s="164">
        <v>126.952022</v>
      </c>
      <c r="I37" s="164">
        <v>-8.5286249999999999</v>
      </c>
      <c r="J37" s="135">
        <v>1</v>
      </c>
      <c r="K37" s="133" t="s">
        <v>23</v>
      </c>
      <c r="L37" s="146" t="s">
        <v>8</v>
      </c>
      <c r="M37" s="135">
        <v>4111</v>
      </c>
      <c r="N37" s="135">
        <v>43.4</v>
      </c>
      <c r="O37" s="132">
        <f t="shared" si="12"/>
        <v>3.5700000000000003</v>
      </c>
      <c r="P37" s="125">
        <f t="shared" si="13"/>
        <v>338.16290322580653</v>
      </c>
      <c r="Q37" s="165">
        <f t="shared" si="15"/>
        <v>4.3284851612903234E-2</v>
      </c>
      <c r="R37" s="139">
        <v>20</v>
      </c>
      <c r="S37" s="139">
        <v>156250</v>
      </c>
      <c r="T37" s="132"/>
      <c r="U37" s="166">
        <v>11</v>
      </c>
      <c r="V37" s="138"/>
      <c r="W37" s="132"/>
      <c r="X37" s="138"/>
      <c r="Y37" s="167"/>
      <c r="Z37" s="135"/>
      <c r="AA37" s="167"/>
      <c r="AB37" s="135"/>
      <c r="AC37" s="167"/>
      <c r="AD37" s="253"/>
      <c r="AE37" s="138"/>
      <c r="AF37" s="253"/>
      <c r="AG37" s="138"/>
      <c r="AH37" s="181"/>
      <c r="AI37" s="261"/>
      <c r="AJ37" s="144"/>
      <c r="AK37" s="222"/>
    </row>
    <row r="38" spans="1:37" ht="48.65" customHeight="1" x14ac:dyDescent="0.3">
      <c r="A38" s="145">
        <v>12</v>
      </c>
      <c r="B38" s="131" t="s">
        <v>39</v>
      </c>
      <c r="C38" s="132" t="s">
        <v>45</v>
      </c>
      <c r="D38" s="132" t="s">
        <v>57</v>
      </c>
      <c r="E38" s="150" t="s">
        <v>74</v>
      </c>
      <c r="F38" s="175">
        <v>127.06660100000001</v>
      </c>
      <c r="G38" s="175">
        <v>-8.5178139999999996</v>
      </c>
      <c r="H38" s="175">
        <v>127.08969</v>
      </c>
      <c r="I38" s="175">
        <v>-8.5144680000000008</v>
      </c>
      <c r="J38" s="135">
        <v>3</v>
      </c>
      <c r="K38" s="132" t="s">
        <v>84</v>
      </c>
      <c r="L38" s="146" t="s">
        <v>8</v>
      </c>
      <c r="M38" s="135">
        <v>2785</v>
      </c>
      <c r="N38" s="135">
        <v>76.28</v>
      </c>
      <c r="O38" s="132">
        <f t="shared" si="12"/>
        <v>7.57</v>
      </c>
      <c r="P38" s="125">
        <f t="shared" si="13"/>
        <v>276.38240692186679</v>
      </c>
      <c r="Q38" s="165">
        <f t="shared" si="15"/>
        <v>2.6532711064499209E-2</v>
      </c>
      <c r="R38" s="139">
        <v>15</v>
      </c>
      <c r="S38" s="139">
        <v>156250</v>
      </c>
      <c r="T38" s="132"/>
      <c r="U38" s="166">
        <v>12</v>
      </c>
      <c r="V38" s="138"/>
      <c r="W38" s="132"/>
      <c r="X38" s="138"/>
      <c r="Y38" s="167"/>
      <c r="Z38" s="256"/>
      <c r="AA38" s="270"/>
      <c r="AB38" s="256"/>
      <c r="AC38" s="270"/>
      <c r="AD38" s="253"/>
      <c r="AE38" s="138"/>
      <c r="AF38" s="253"/>
      <c r="AG38" s="138"/>
      <c r="AH38" s="181"/>
      <c r="AI38" s="261"/>
      <c r="AJ38" s="144"/>
      <c r="AK38" s="222"/>
    </row>
    <row r="39" spans="1:37" ht="48.65" customHeight="1" x14ac:dyDescent="0.3">
      <c r="A39" s="145">
        <v>13</v>
      </c>
      <c r="B39" s="131" t="s">
        <v>42</v>
      </c>
      <c r="C39" s="132" t="s">
        <v>46</v>
      </c>
      <c r="D39" s="132" t="s">
        <v>125</v>
      </c>
      <c r="E39" s="133" t="s">
        <v>102</v>
      </c>
      <c r="F39" s="175">
        <v>126.826892</v>
      </c>
      <c r="G39" s="175">
        <v>-8.7096719999999994</v>
      </c>
      <c r="H39" s="175">
        <v>126.833938</v>
      </c>
      <c r="I39" s="175">
        <v>-8.7219470000000001</v>
      </c>
      <c r="J39" s="135">
        <v>3</v>
      </c>
      <c r="K39" s="133" t="s">
        <v>84</v>
      </c>
      <c r="L39" s="146" t="s">
        <v>8</v>
      </c>
      <c r="M39" s="135">
        <v>2707</v>
      </c>
      <c r="N39" s="135">
        <v>52.84</v>
      </c>
      <c r="O39" s="132">
        <f t="shared" si="12"/>
        <v>7.57</v>
      </c>
      <c r="P39" s="125">
        <f t="shared" si="13"/>
        <v>387.81207418622256</v>
      </c>
      <c r="Q39" s="165">
        <f t="shared" si="15"/>
        <v>2.1153385864703049E-2</v>
      </c>
      <c r="R39" s="139">
        <v>15</v>
      </c>
      <c r="S39" s="139">
        <v>275000</v>
      </c>
      <c r="T39" s="132"/>
      <c r="U39" s="166">
        <v>13</v>
      </c>
      <c r="V39" s="138"/>
      <c r="W39" s="132"/>
      <c r="X39" s="138"/>
      <c r="Y39" s="132"/>
      <c r="Z39" s="138"/>
      <c r="AA39" s="167"/>
      <c r="AB39" s="135"/>
      <c r="AC39" s="167"/>
      <c r="AD39" s="253"/>
      <c r="AE39" s="138"/>
      <c r="AF39" s="253"/>
      <c r="AG39" s="138"/>
      <c r="AH39" s="181"/>
      <c r="AI39" s="261"/>
      <c r="AJ39" s="144"/>
      <c r="AK39" s="222"/>
    </row>
    <row r="40" spans="1:37" ht="48.65" customHeight="1" x14ac:dyDescent="0.3">
      <c r="A40" s="145">
        <v>14</v>
      </c>
      <c r="B40" s="131" t="s">
        <v>39</v>
      </c>
      <c r="C40" s="132" t="s">
        <v>45</v>
      </c>
      <c r="D40" s="132" t="s">
        <v>57</v>
      </c>
      <c r="E40" s="150" t="s">
        <v>117</v>
      </c>
      <c r="F40" s="175">
        <v>127.08969</v>
      </c>
      <c r="G40" s="175">
        <v>-8.5144680000000008</v>
      </c>
      <c r="H40" s="175">
        <v>127.111547</v>
      </c>
      <c r="I40" s="175">
        <v>-8.4924769999999992</v>
      </c>
      <c r="J40" s="135">
        <v>3.5</v>
      </c>
      <c r="K40" s="133" t="s">
        <v>24</v>
      </c>
      <c r="L40" s="146" t="s">
        <v>8</v>
      </c>
      <c r="M40" s="135">
        <v>2785</v>
      </c>
      <c r="N40" s="135">
        <v>76.28</v>
      </c>
      <c r="O40" s="132">
        <f t="shared" si="12"/>
        <v>8.57</v>
      </c>
      <c r="P40" s="125">
        <f t="shared" si="13"/>
        <v>312.89263240692185</v>
      </c>
      <c r="Q40" s="165">
        <f t="shared" si="15"/>
        <v>2.0025128474042999E-2</v>
      </c>
      <c r="R40" s="139">
        <v>10</v>
      </c>
      <c r="S40" s="139">
        <v>156250</v>
      </c>
      <c r="T40" s="132"/>
      <c r="U40" s="166">
        <v>14</v>
      </c>
      <c r="V40" s="138"/>
      <c r="W40" s="132"/>
      <c r="X40" s="138"/>
      <c r="Y40" s="132"/>
      <c r="Z40" s="138"/>
      <c r="AA40" s="132"/>
      <c r="AB40" s="138"/>
      <c r="AC40" s="167"/>
      <c r="AD40" s="253"/>
      <c r="AE40" s="138"/>
      <c r="AF40" s="253"/>
      <c r="AG40" s="138"/>
      <c r="AH40" s="181"/>
      <c r="AI40" s="261"/>
      <c r="AJ40" s="144"/>
      <c r="AK40" s="222"/>
    </row>
    <row r="41" spans="1:37" ht="48.65" customHeight="1" x14ac:dyDescent="0.3">
      <c r="A41" s="145">
        <v>15</v>
      </c>
      <c r="B41" s="131" t="s">
        <v>41</v>
      </c>
      <c r="C41" s="132" t="s">
        <v>46</v>
      </c>
      <c r="D41" s="132" t="s">
        <v>133</v>
      </c>
      <c r="E41" s="150" t="s">
        <v>113</v>
      </c>
      <c r="F41" s="175">
        <v>126.828141</v>
      </c>
      <c r="G41" s="175">
        <v>-8.6896930000000001</v>
      </c>
      <c r="H41" s="166">
        <v>126.82643299999999</v>
      </c>
      <c r="I41" s="166">
        <v>-8.7008010000000002</v>
      </c>
      <c r="J41" s="135">
        <v>4</v>
      </c>
      <c r="K41" s="133" t="s">
        <v>84</v>
      </c>
      <c r="L41" s="146" t="s">
        <v>8</v>
      </c>
      <c r="M41" s="135">
        <f>2707+2049</f>
        <v>4756</v>
      </c>
      <c r="N41" s="135">
        <f>52.85+71.5</f>
        <v>124.35</v>
      </c>
      <c r="O41" s="132">
        <f t="shared" si="12"/>
        <v>9.57</v>
      </c>
      <c r="P41" s="125">
        <f t="shared" si="13"/>
        <v>366.0226779252111</v>
      </c>
      <c r="Q41" s="165">
        <f t="shared" si="15"/>
        <v>2.6619831121833536E-2</v>
      </c>
      <c r="R41" s="139">
        <v>15</v>
      </c>
      <c r="S41" s="139">
        <v>206250</v>
      </c>
      <c r="T41" s="132"/>
      <c r="U41" s="166">
        <v>15</v>
      </c>
      <c r="V41" s="138"/>
      <c r="W41" s="132"/>
      <c r="X41" s="138"/>
      <c r="Y41" s="132"/>
      <c r="Z41" s="138"/>
      <c r="AA41" s="132"/>
      <c r="AB41" s="138"/>
      <c r="AC41" s="167"/>
      <c r="AD41" s="135"/>
      <c r="AE41" s="138"/>
      <c r="AF41" s="138"/>
      <c r="AG41" s="138"/>
      <c r="AH41" s="253"/>
      <c r="AI41" s="260"/>
      <c r="AJ41" s="144"/>
      <c r="AK41" s="222"/>
    </row>
    <row r="42" spans="1:37" ht="48.65" customHeight="1" x14ac:dyDescent="0.3">
      <c r="A42" s="145">
        <v>16</v>
      </c>
      <c r="B42" s="131" t="s">
        <v>42</v>
      </c>
      <c r="C42" s="132" t="s">
        <v>95</v>
      </c>
      <c r="D42" s="132" t="s">
        <v>128</v>
      </c>
      <c r="E42" s="150" t="s">
        <v>107</v>
      </c>
      <c r="F42" s="175">
        <v>127.010875</v>
      </c>
      <c r="G42" s="175">
        <v>-8.6117260000000009</v>
      </c>
      <c r="H42" s="175">
        <v>127.048399</v>
      </c>
      <c r="I42" s="175">
        <v>-8.6006129999999992</v>
      </c>
      <c r="J42" s="135">
        <v>5</v>
      </c>
      <c r="K42" s="133" t="s">
        <v>24</v>
      </c>
      <c r="L42" s="146" t="s">
        <v>8</v>
      </c>
      <c r="M42" s="135">
        <v>3708</v>
      </c>
      <c r="N42" s="135">
        <v>133.69999999999999</v>
      </c>
      <c r="O42" s="132">
        <f t="shared" si="12"/>
        <v>11.57</v>
      </c>
      <c r="P42" s="125">
        <f t="shared" si="13"/>
        <v>320.87928197456995</v>
      </c>
      <c r="Q42" s="165">
        <f t="shared" si="15"/>
        <v>1.5557783368463998E-2</v>
      </c>
      <c r="R42" s="139">
        <v>10</v>
      </c>
      <c r="S42" s="139">
        <v>206250</v>
      </c>
      <c r="T42" s="132"/>
      <c r="U42" s="166">
        <v>16</v>
      </c>
      <c r="V42" s="138"/>
      <c r="W42" s="132"/>
      <c r="X42" s="138"/>
      <c r="Y42" s="132"/>
      <c r="Z42" s="138"/>
      <c r="AA42" s="200"/>
      <c r="AB42" s="256"/>
      <c r="AC42" s="200"/>
      <c r="AD42" s="135"/>
      <c r="AE42" s="138"/>
      <c r="AF42" s="138"/>
      <c r="AG42" s="138"/>
      <c r="AH42" s="253"/>
      <c r="AI42" s="260"/>
      <c r="AJ42" s="144"/>
      <c r="AK42" s="222"/>
    </row>
    <row r="43" spans="1:37" ht="48.65" customHeight="1" x14ac:dyDescent="0.3">
      <c r="A43" s="145">
        <v>17</v>
      </c>
      <c r="B43" s="131" t="s">
        <v>42</v>
      </c>
      <c r="C43" s="132" t="s">
        <v>46</v>
      </c>
      <c r="D43" s="132" t="s">
        <v>125</v>
      </c>
      <c r="E43" s="150" t="s">
        <v>108</v>
      </c>
      <c r="F43" s="166">
        <v>126.82301</v>
      </c>
      <c r="G43" s="166">
        <v>-8.7128040000000002</v>
      </c>
      <c r="H43" s="166">
        <v>126.80778599999999</v>
      </c>
      <c r="I43" s="166">
        <v>-8.7185459999999999</v>
      </c>
      <c r="J43" s="135">
        <v>2.5</v>
      </c>
      <c r="K43" s="133" t="s">
        <v>84</v>
      </c>
      <c r="L43" s="146" t="s">
        <v>8</v>
      </c>
      <c r="M43" s="135">
        <v>2707</v>
      </c>
      <c r="N43" s="135">
        <v>52.84</v>
      </c>
      <c r="O43" s="132">
        <f t="shared" si="12"/>
        <v>6.57</v>
      </c>
      <c r="P43" s="125">
        <f t="shared" si="13"/>
        <v>336.58194549583646</v>
      </c>
      <c r="Q43" s="165">
        <f t="shared" si="15"/>
        <v>1.8359015208863808E-2</v>
      </c>
      <c r="R43" s="139">
        <v>15</v>
      </c>
      <c r="S43" s="139">
        <v>275000</v>
      </c>
      <c r="T43" s="132"/>
      <c r="U43" s="166">
        <v>17</v>
      </c>
      <c r="V43" s="138"/>
      <c r="W43" s="132"/>
      <c r="X43" s="138"/>
      <c r="Y43" s="132"/>
      <c r="Z43" s="138"/>
      <c r="AA43" s="132"/>
      <c r="AB43" s="138"/>
      <c r="AC43" s="167"/>
      <c r="AD43" s="135"/>
      <c r="AE43" s="138"/>
      <c r="AF43" s="138"/>
      <c r="AG43" s="138"/>
      <c r="AH43" s="253"/>
      <c r="AI43" s="260"/>
      <c r="AJ43" s="144"/>
      <c r="AK43" s="222"/>
    </row>
    <row r="44" spans="1:37" ht="48.65" customHeight="1" x14ac:dyDescent="0.3">
      <c r="A44" s="145">
        <v>18</v>
      </c>
      <c r="B44" s="131" t="s">
        <v>42</v>
      </c>
      <c r="C44" s="132" t="s">
        <v>46</v>
      </c>
      <c r="D44" s="132" t="s">
        <v>125</v>
      </c>
      <c r="E44" s="133" t="s">
        <v>104</v>
      </c>
      <c r="F44" s="175">
        <v>126.83604099999999</v>
      </c>
      <c r="G44" s="175">
        <v>-8.6817060000000001</v>
      </c>
      <c r="H44" s="175">
        <v>126.859624</v>
      </c>
      <c r="I44" s="175">
        <v>-8.6872249999999998</v>
      </c>
      <c r="J44" s="135">
        <v>3.05</v>
      </c>
      <c r="K44" s="133" t="s">
        <v>84</v>
      </c>
      <c r="L44" s="146" t="s">
        <v>8</v>
      </c>
      <c r="M44" s="135">
        <v>1150</v>
      </c>
      <c r="N44" s="135">
        <v>97.5</v>
      </c>
      <c r="O44" s="132">
        <f t="shared" si="12"/>
        <v>7.67</v>
      </c>
      <c r="P44" s="125">
        <f t="shared" si="13"/>
        <v>90.466666666666669</v>
      </c>
      <c r="Q44" s="165">
        <f t="shared" si="15"/>
        <v>4.9345454545454545E-3</v>
      </c>
      <c r="R44" s="139">
        <v>15</v>
      </c>
      <c r="S44" s="139">
        <v>275000</v>
      </c>
      <c r="T44" s="132"/>
      <c r="U44" s="166">
        <v>18</v>
      </c>
      <c r="V44" s="138"/>
      <c r="W44" s="132"/>
      <c r="X44" s="138"/>
      <c r="Y44" s="167"/>
      <c r="Z44" s="135"/>
      <c r="AA44" s="167"/>
      <c r="AB44" s="135"/>
      <c r="AC44" s="167"/>
      <c r="AD44" s="135"/>
      <c r="AE44" s="138"/>
      <c r="AF44" s="138"/>
      <c r="AG44" s="138"/>
      <c r="AH44" s="253"/>
      <c r="AI44" s="260"/>
      <c r="AJ44" s="144"/>
      <c r="AK44" s="222"/>
    </row>
    <row r="45" spans="1:37" ht="48.65" customHeight="1" x14ac:dyDescent="0.3">
      <c r="A45" s="145">
        <v>19</v>
      </c>
      <c r="B45" s="131" t="s">
        <v>88</v>
      </c>
      <c r="C45" s="132" t="s">
        <v>44</v>
      </c>
      <c r="D45" s="132" t="s">
        <v>132</v>
      </c>
      <c r="E45" s="150" t="s">
        <v>112</v>
      </c>
      <c r="F45" s="175">
        <v>126.848935</v>
      </c>
      <c r="G45" s="175">
        <v>-8.5179659999999995</v>
      </c>
      <c r="H45" s="175">
        <v>126.888716</v>
      </c>
      <c r="I45" s="175">
        <v>-8.4564819999999994</v>
      </c>
      <c r="J45" s="135">
        <v>10.3</v>
      </c>
      <c r="K45" s="133" t="s">
        <v>135</v>
      </c>
      <c r="L45" s="184" t="s">
        <v>25</v>
      </c>
      <c r="M45" s="135">
        <v>1603</v>
      </c>
      <c r="N45" s="135">
        <v>45.26</v>
      </c>
      <c r="O45" s="132">
        <f t="shared" si="12"/>
        <v>22.17</v>
      </c>
      <c r="P45" s="125">
        <f t="shared" si="13"/>
        <v>785.20790985417602</v>
      </c>
      <c r="Q45" s="165">
        <f t="shared" si="15"/>
        <v>0</v>
      </c>
      <c r="R45" s="139"/>
      <c r="S45" s="139">
        <v>5000</v>
      </c>
      <c r="T45" s="132"/>
      <c r="U45" s="166">
        <v>19</v>
      </c>
      <c r="V45" s="138"/>
      <c r="W45" s="132"/>
      <c r="X45" s="138"/>
      <c r="Y45" s="132"/>
      <c r="Z45" s="138"/>
      <c r="AA45" s="132"/>
      <c r="AB45" s="259"/>
      <c r="AC45" s="200"/>
      <c r="AD45" s="259"/>
      <c r="AE45" s="138"/>
      <c r="AF45" s="259"/>
      <c r="AG45" s="138"/>
      <c r="AH45" s="253"/>
      <c r="AI45" s="261"/>
      <c r="AJ45" s="144"/>
      <c r="AK45" s="222"/>
    </row>
    <row r="46" spans="1:37" ht="48.65" customHeight="1" x14ac:dyDescent="0.3">
      <c r="A46" s="145">
        <v>20</v>
      </c>
      <c r="B46" s="131" t="s">
        <v>93</v>
      </c>
      <c r="C46" s="132" t="s">
        <v>45</v>
      </c>
      <c r="D46" s="132" t="s">
        <v>58</v>
      </c>
      <c r="E46" s="150" t="s">
        <v>119</v>
      </c>
      <c r="F46" s="175">
        <v>126.96513400000001</v>
      </c>
      <c r="G46" s="175">
        <v>-8.5304369999999992</v>
      </c>
      <c r="H46" s="187">
        <v>126.927727</v>
      </c>
      <c r="I46" s="187">
        <v>-8.5332489999999996</v>
      </c>
      <c r="J46" s="188">
        <v>5.8</v>
      </c>
      <c r="K46" s="189" t="s">
        <v>144</v>
      </c>
      <c r="L46" s="190" t="s">
        <v>25</v>
      </c>
      <c r="M46" s="188">
        <v>4111</v>
      </c>
      <c r="N46" s="188">
        <f>43.4</f>
        <v>43.4</v>
      </c>
      <c r="O46" s="132">
        <f t="shared" si="12"/>
        <v>13.17</v>
      </c>
      <c r="P46" s="125">
        <f t="shared" si="13"/>
        <v>1247.5085253456223</v>
      </c>
      <c r="Q46" s="165">
        <f t="shared" si="15"/>
        <v>0</v>
      </c>
      <c r="R46" s="139"/>
      <c r="S46" s="191">
        <v>5000</v>
      </c>
      <c r="T46" s="132"/>
      <c r="U46" s="166">
        <v>20</v>
      </c>
      <c r="V46" s="138"/>
      <c r="W46" s="132"/>
      <c r="X46" s="138"/>
      <c r="Y46" s="132"/>
      <c r="Z46" s="141">
        <f>5000*AA46</f>
        <v>29000</v>
      </c>
      <c r="AA46" s="178">
        <f>J46</f>
        <v>5.8</v>
      </c>
      <c r="AB46" s="185">
        <f>5000*AC46</f>
        <v>29000</v>
      </c>
      <c r="AC46" s="140">
        <f>AA46</f>
        <v>5.8</v>
      </c>
      <c r="AD46" s="185">
        <f>5000*AE46</f>
        <v>29000</v>
      </c>
      <c r="AE46" s="141">
        <f>AC46</f>
        <v>5.8</v>
      </c>
      <c r="AF46" s="185">
        <f>5000*AG46</f>
        <v>29000</v>
      </c>
      <c r="AG46" s="141">
        <f>AE46</f>
        <v>5.8</v>
      </c>
      <c r="AH46" s="173">
        <f>5000*AI46</f>
        <v>29000</v>
      </c>
      <c r="AI46" s="182">
        <f>AG46</f>
        <v>5.8</v>
      </c>
      <c r="AJ46" s="144"/>
      <c r="AK46" s="222"/>
    </row>
    <row r="47" spans="1:37" ht="48.65" customHeight="1" x14ac:dyDescent="0.3">
      <c r="A47" s="145">
        <v>21</v>
      </c>
      <c r="B47" s="131" t="s">
        <v>91</v>
      </c>
      <c r="C47" s="132" t="s">
        <v>44</v>
      </c>
      <c r="D47" s="132" t="s">
        <v>121</v>
      </c>
      <c r="E47" s="150" t="s">
        <v>116</v>
      </c>
      <c r="F47" s="175">
        <v>126.918738</v>
      </c>
      <c r="G47" s="175">
        <v>-8.3512190000000004</v>
      </c>
      <c r="H47" s="175">
        <v>126.93129999999999</v>
      </c>
      <c r="I47" s="175">
        <v>-8.3599370000000004</v>
      </c>
      <c r="J47" s="135">
        <v>2.1</v>
      </c>
      <c r="K47" s="133" t="s">
        <v>135</v>
      </c>
      <c r="L47" s="184" t="s">
        <v>25</v>
      </c>
      <c r="M47" s="135">
        <v>3345</v>
      </c>
      <c r="N47" s="135">
        <v>82.14</v>
      </c>
      <c r="O47" s="132">
        <f t="shared" si="12"/>
        <v>5.7700000000000005</v>
      </c>
      <c r="P47" s="125">
        <f t="shared" si="13"/>
        <v>234.97260774287804</v>
      </c>
      <c r="Q47" s="165">
        <f t="shared" si="15"/>
        <v>0</v>
      </c>
      <c r="R47" s="139"/>
      <c r="S47" s="139">
        <v>5000</v>
      </c>
      <c r="T47" s="132"/>
      <c r="U47" s="192">
        <v>21</v>
      </c>
      <c r="V47" s="201"/>
      <c r="W47" s="193"/>
      <c r="X47" s="201"/>
      <c r="Y47" s="202"/>
      <c r="Z47" s="141">
        <f>5000*AA47</f>
        <v>10500</v>
      </c>
      <c r="AA47" s="178">
        <f>J47</f>
        <v>2.1</v>
      </c>
      <c r="AB47" s="185">
        <f>5000*AC47</f>
        <v>10500</v>
      </c>
      <c r="AC47" s="140">
        <f>AA47</f>
        <v>2.1</v>
      </c>
      <c r="AD47" s="185">
        <f>5000*AE47</f>
        <v>10500</v>
      </c>
      <c r="AE47" s="141">
        <f>AC47</f>
        <v>2.1</v>
      </c>
      <c r="AF47" s="185">
        <f t="shared" ref="AF47" si="17">5000*AG47</f>
        <v>10500</v>
      </c>
      <c r="AG47" s="141">
        <f>AE47</f>
        <v>2.1</v>
      </c>
      <c r="AH47" s="173">
        <f>5000*AI47</f>
        <v>10500</v>
      </c>
      <c r="AI47" s="182">
        <f>AG47</f>
        <v>2.1</v>
      </c>
      <c r="AJ47" s="194"/>
      <c r="AK47" s="222"/>
    </row>
    <row r="48" spans="1:37" ht="48.65" customHeight="1" thickBot="1" x14ac:dyDescent="0.35">
      <c r="A48" s="145">
        <v>22</v>
      </c>
      <c r="B48" s="225" t="s">
        <v>87</v>
      </c>
      <c r="C48" s="226" t="s">
        <v>94</v>
      </c>
      <c r="D48" s="226" t="s">
        <v>94</v>
      </c>
      <c r="E48" s="227" t="s">
        <v>111</v>
      </c>
      <c r="F48" s="228">
        <v>127.255039</v>
      </c>
      <c r="G48" s="228">
        <v>-8.3953900000000008</v>
      </c>
      <c r="H48" s="228">
        <v>127.300624</v>
      </c>
      <c r="I48" s="228">
        <v>-8.4146269999999994</v>
      </c>
      <c r="J48" s="225">
        <v>8</v>
      </c>
      <c r="K48" s="227" t="s">
        <v>135</v>
      </c>
      <c r="L48" s="229" t="s">
        <v>25</v>
      </c>
      <c r="M48" s="225">
        <v>1989</v>
      </c>
      <c r="N48" s="225">
        <v>119.69</v>
      </c>
      <c r="O48" s="226">
        <f t="shared" si="12"/>
        <v>17.57</v>
      </c>
      <c r="P48" s="230">
        <f t="shared" si="13"/>
        <v>291.97702397861138</v>
      </c>
      <c r="Q48" s="231">
        <f t="shared" si="15"/>
        <v>0</v>
      </c>
      <c r="R48" s="232"/>
      <c r="S48" s="232">
        <v>5000</v>
      </c>
      <c r="T48" s="226"/>
      <c r="U48" s="233">
        <v>22</v>
      </c>
      <c r="V48" s="234"/>
      <c r="W48" s="226"/>
      <c r="X48" s="234"/>
      <c r="Y48" s="226"/>
      <c r="Z48" s="235">
        <f>5000*AA48</f>
        <v>40000</v>
      </c>
      <c r="AA48" s="236">
        <f>J48</f>
        <v>8</v>
      </c>
      <c r="AB48" s="237">
        <f>5000*AC48</f>
        <v>40000</v>
      </c>
      <c r="AC48" s="238">
        <f>AA48</f>
        <v>8</v>
      </c>
      <c r="AD48" s="237">
        <f>5000*AE48</f>
        <v>40000</v>
      </c>
      <c r="AE48" s="235">
        <f>AC48</f>
        <v>8</v>
      </c>
      <c r="AF48" s="185">
        <f>5000*AG48</f>
        <v>40000</v>
      </c>
      <c r="AG48" s="235">
        <f>AE48</f>
        <v>8</v>
      </c>
      <c r="AH48" s="241">
        <f>5000*AI48</f>
        <v>40000</v>
      </c>
      <c r="AI48" s="242">
        <f>AG48</f>
        <v>8</v>
      </c>
      <c r="AJ48" s="243"/>
      <c r="AK48" s="244"/>
    </row>
    <row r="49" spans="1:37" ht="36.65" customHeight="1" x14ac:dyDescent="0.45">
      <c r="A49" s="563" t="s">
        <v>142</v>
      </c>
      <c r="B49" s="564"/>
      <c r="C49" s="564"/>
      <c r="D49" s="564"/>
      <c r="E49" s="564"/>
      <c r="F49" s="564"/>
      <c r="G49" s="564"/>
      <c r="H49" s="564"/>
      <c r="I49" s="564"/>
      <c r="J49" s="564"/>
      <c r="K49" s="565"/>
      <c r="L49" s="102" t="s">
        <v>17</v>
      </c>
      <c r="M49" s="93"/>
      <c r="N49" s="93"/>
      <c r="O49" s="93"/>
      <c r="P49" s="93"/>
      <c r="Q49" s="93"/>
      <c r="R49" s="93"/>
      <c r="S49" s="93"/>
      <c r="T49" s="94"/>
      <c r="U49" s="95"/>
      <c r="V49" s="103">
        <v>0</v>
      </c>
      <c r="W49" s="103">
        <v>0</v>
      </c>
      <c r="X49" s="103">
        <v>0</v>
      </c>
      <c r="Y49" s="103">
        <v>0</v>
      </c>
      <c r="Z49" s="104">
        <f>SUM(Z9:Z25)+Z46+Z47+Z48</f>
        <v>379250</v>
      </c>
      <c r="AA49" s="105">
        <f>SUM(AA9:AA25)+SUM(AA45:AA48)</f>
        <v>75.850000000000009</v>
      </c>
      <c r="AB49" s="104">
        <f>SUM(AB10:AB25)+SUM(AB45:AB48)+AB33</f>
        <v>351750</v>
      </c>
      <c r="AC49" s="105">
        <f>SUM(AC9:AC25)+SUM(AC45:AC48)+AC33</f>
        <v>77.350000000000009</v>
      </c>
      <c r="AD49" s="106">
        <f>SUM(AD9:AD25)+AD29+AD30+AD33+AD46+AD47+AD48</f>
        <v>431500</v>
      </c>
      <c r="AE49" s="107">
        <f>SUM(AE9:AE25)+AE29+AE30+AE33+AE35+SUM(AE45:AE48)</f>
        <v>86.300000000000026</v>
      </c>
      <c r="AF49" s="106">
        <f>SUM(AF9:AF25)+AF29+AF30+AF33+AF46+AF47+AF48</f>
        <v>431500</v>
      </c>
      <c r="AG49" s="106">
        <f>SUM(AG9:AG25)+AG29+AG30+AG33+AG46+AG47+AG48</f>
        <v>86.300000000000011</v>
      </c>
      <c r="AH49" s="106">
        <f>SUM(AH9:AH25)+AH29+AH30+AH33+AH46+AH47+AH48</f>
        <v>431500</v>
      </c>
      <c r="AI49" s="108">
        <f>SUM(AI9:AI25)+AI27+AI28+AI29+AI30+AI33+AI46+AI47+AI48</f>
        <v>102.20000000000002</v>
      </c>
      <c r="AJ49" s="109">
        <f>V49+X49+Z49+AB49+AD49+AF49+AH49</f>
        <v>2025500</v>
      </c>
      <c r="AK49" s="248">
        <f>W49+Y49+AA49+AC49+AE49+AG49+AI49</f>
        <v>428.00000000000011</v>
      </c>
    </row>
    <row r="50" spans="1:37" ht="36.65" customHeight="1" x14ac:dyDescent="0.45">
      <c r="A50" s="566"/>
      <c r="B50" s="567"/>
      <c r="C50" s="567"/>
      <c r="D50" s="567"/>
      <c r="E50" s="567"/>
      <c r="F50" s="567"/>
      <c r="G50" s="567"/>
      <c r="H50" s="567"/>
      <c r="I50" s="567"/>
      <c r="J50" s="567"/>
      <c r="K50" s="568"/>
      <c r="L50" s="110" t="s">
        <v>18</v>
      </c>
      <c r="M50" s="92"/>
      <c r="N50" s="92"/>
      <c r="O50" s="92"/>
      <c r="P50" s="92"/>
      <c r="Q50" s="92"/>
      <c r="R50" s="92"/>
      <c r="S50" s="92"/>
      <c r="T50" s="96"/>
      <c r="U50" s="97"/>
      <c r="V50" s="111">
        <v>0</v>
      </c>
      <c r="W50" s="111">
        <v>0</v>
      </c>
      <c r="X50" s="111">
        <v>0</v>
      </c>
      <c r="Y50" s="111">
        <v>0</v>
      </c>
      <c r="Z50" s="111">
        <v>0</v>
      </c>
      <c r="AA50" s="111">
        <v>0</v>
      </c>
      <c r="AB50" s="111">
        <v>0</v>
      </c>
      <c r="AC50" s="112">
        <v>0</v>
      </c>
      <c r="AD50" s="113">
        <v>0</v>
      </c>
      <c r="AE50" s="113">
        <v>0</v>
      </c>
      <c r="AF50" s="113"/>
      <c r="AG50" s="113"/>
      <c r="AH50" s="113">
        <v>0</v>
      </c>
      <c r="AI50" s="114">
        <v>0</v>
      </c>
      <c r="AJ50" s="115">
        <f t="shared" ref="AJ50:AK51" si="18">V50+X50+Z50+AB50+AD50+AF50+AH50</f>
        <v>0</v>
      </c>
      <c r="AK50" s="249">
        <f t="shared" si="18"/>
        <v>0</v>
      </c>
    </row>
    <row r="51" spans="1:37" ht="36.65" customHeight="1" x14ac:dyDescent="0.45">
      <c r="A51" s="566"/>
      <c r="B51" s="567"/>
      <c r="C51" s="567"/>
      <c r="D51" s="567"/>
      <c r="E51" s="567"/>
      <c r="F51" s="567"/>
      <c r="G51" s="567"/>
      <c r="H51" s="567"/>
      <c r="I51" s="567"/>
      <c r="J51" s="567"/>
      <c r="K51" s="568"/>
      <c r="L51" s="116" t="s">
        <v>19</v>
      </c>
      <c r="M51" s="92"/>
      <c r="N51" s="92"/>
      <c r="O51" s="92"/>
      <c r="P51" s="92"/>
      <c r="Q51" s="92"/>
      <c r="R51" s="92"/>
      <c r="S51" s="92"/>
      <c r="T51" s="96"/>
      <c r="U51" s="98"/>
      <c r="V51" s="117">
        <v>0</v>
      </c>
      <c r="W51" s="117">
        <v>0</v>
      </c>
      <c r="X51" s="117">
        <v>0</v>
      </c>
      <c r="Y51" s="117">
        <v>0</v>
      </c>
      <c r="Z51" s="118">
        <f>Z27+Z28+Z31+Z33+Z34</f>
        <v>1130250</v>
      </c>
      <c r="AA51" s="119">
        <f>AA27+AA28+AA33</f>
        <v>5.48</v>
      </c>
      <c r="AB51" s="118">
        <f t="shared" ref="AB51:AG51" si="19">AB27+AB28+AB31</f>
        <v>1155000</v>
      </c>
      <c r="AC51" s="119">
        <f t="shared" si="19"/>
        <v>5.6</v>
      </c>
      <c r="AD51" s="118">
        <f t="shared" si="19"/>
        <v>1072500</v>
      </c>
      <c r="AE51" s="118">
        <f t="shared" si="19"/>
        <v>5.2</v>
      </c>
      <c r="AF51" s="118">
        <f t="shared" si="19"/>
        <v>1076625</v>
      </c>
      <c r="AG51" s="118">
        <f t="shared" si="19"/>
        <v>5.22</v>
      </c>
      <c r="AH51" s="118">
        <f>AH31+AH32+AH34</f>
        <v>1072500</v>
      </c>
      <c r="AI51" s="119">
        <f>AI31+AI32+AI34</f>
        <v>4.7</v>
      </c>
      <c r="AJ51" s="120">
        <f t="shared" si="18"/>
        <v>5506875</v>
      </c>
      <c r="AK51" s="250">
        <f>W51+Y51+AA51+AC51+AE51+AG51+AI51</f>
        <v>26.2</v>
      </c>
    </row>
    <row r="52" spans="1:37" ht="36.65" customHeight="1" thickBot="1" x14ac:dyDescent="0.35">
      <c r="A52" s="569"/>
      <c r="B52" s="570"/>
      <c r="C52" s="570"/>
      <c r="D52" s="570"/>
      <c r="E52" s="570"/>
      <c r="F52" s="570"/>
      <c r="G52" s="570"/>
      <c r="H52" s="570"/>
      <c r="I52" s="570"/>
      <c r="J52" s="570"/>
      <c r="K52" s="571"/>
      <c r="L52" s="121" t="s">
        <v>20</v>
      </c>
      <c r="M52" s="99"/>
      <c r="N52" s="99"/>
      <c r="O52" s="99"/>
      <c r="P52" s="99"/>
      <c r="Q52" s="99"/>
      <c r="R52" s="99"/>
      <c r="S52" s="99"/>
      <c r="T52" s="122">
        <f>SUM(T9:T51)</f>
        <v>5506875</v>
      </c>
      <c r="U52" s="101"/>
      <c r="V52" s="122">
        <f>SUM(V49:V51)</f>
        <v>0</v>
      </c>
      <c r="W52" s="122">
        <f t="shared" ref="W52:AI52" si="20">SUM(W49:W51)</f>
        <v>0</v>
      </c>
      <c r="X52" s="122">
        <f t="shared" si="20"/>
        <v>0</v>
      </c>
      <c r="Y52" s="122">
        <f t="shared" si="20"/>
        <v>0</v>
      </c>
      <c r="Z52" s="122">
        <f t="shared" si="20"/>
        <v>1509500</v>
      </c>
      <c r="AA52" s="122">
        <f t="shared" si="20"/>
        <v>81.330000000000013</v>
      </c>
      <c r="AB52" s="122">
        <f t="shared" si="20"/>
        <v>1506750</v>
      </c>
      <c r="AC52" s="122">
        <f t="shared" si="20"/>
        <v>82.95</v>
      </c>
      <c r="AD52" s="122">
        <f>SUM(AD49:AD51)</f>
        <v>1504000</v>
      </c>
      <c r="AE52" s="122">
        <f t="shared" si="20"/>
        <v>91.500000000000028</v>
      </c>
      <c r="AF52" s="122">
        <f>SUM(AF49:AF51)</f>
        <v>1508125</v>
      </c>
      <c r="AG52" s="122">
        <f t="shared" si="20"/>
        <v>91.52000000000001</v>
      </c>
      <c r="AH52" s="122">
        <f t="shared" si="20"/>
        <v>1504000</v>
      </c>
      <c r="AI52" s="122">
        <f t="shared" si="20"/>
        <v>106.90000000000002</v>
      </c>
      <c r="AJ52" s="123">
        <f>SUM(AJ49:AJ51)</f>
        <v>7532375</v>
      </c>
      <c r="AK52" s="251">
        <f>SUM(AK49:AK51)</f>
        <v>454.2000000000001</v>
      </c>
    </row>
    <row r="53" spans="1:37" ht="18" x14ac:dyDescent="0.4">
      <c r="J53" s="90"/>
    </row>
    <row r="54" spans="1:37" ht="18" x14ac:dyDescent="0.4">
      <c r="J54" s="90"/>
    </row>
  </sheetData>
  <mergeCells count="54">
    <mergeCell ref="R3:R8"/>
    <mergeCell ref="A1:AK1"/>
    <mergeCell ref="A3:A8"/>
    <mergeCell ref="B3:B8"/>
    <mergeCell ref="C3:C8"/>
    <mergeCell ref="D3:D8"/>
    <mergeCell ref="E3:E8"/>
    <mergeCell ref="F3:G4"/>
    <mergeCell ref="H3:I4"/>
    <mergeCell ref="J3:J8"/>
    <mergeCell ref="K3:L4"/>
    <mergeCell ref="S3:T4"/>
    <mergeCell ref="U3:U8"/>
    <mergeCell ref="V3:AK3"/>
    <mergeCell ref="V4:Y4"/>
    <mergeCell ref="Z4:AE4"/>
    <mergeCell ref="Y7:Y8"/>
    <mergeCell ref="Z7:Z8"/>
    <mergeCell ref="AE7:AE8"/>
    <mergeCell ref="AF7:AF8"/>
    <mergeCell ref="AB5:AC6"/>
    <mergeCell ref="AD5:AE6"/>
    <mergeCell ref="A49:K52"/>
    <mergeCell ref="AA7:AA8"/>
    <mergeCell ref="AB7:AB8"/>
    <mergeCell ref="AC7:AC8"/>
    <mergeCell ref="AD7:AD8"/>
    <mergeCell ref="F5:F8"/>
    <mergeCell ref="G5:G8"/>
    <mergeCell ref="H5:H8"/>
    <mergeCell ref="I5:I8"/>
    <mergeCell ref="K5:K8"/>
    <mergeCell ref="S5:S8"/>
    <mergeCell ref="M3:M8"/>
    <mergeCell ref="N3:N8"/>
    <mergeCell ref="O3:O8"/>
    <mergeCell ref="P3:P8"/>
    <mergeCell ref="T5:T8"/>
    <mergeCell ref="AK7:AK8"/>
    <mergeCell ref="Q3:Q8"/>
    <mergeCell ref="AG7:AG8"/>
    <mergeCell ref="AH7:AH8"/>
    <mergeCell ref="AI7:AI8"/>
    <mergeCell ref="AJ7:AJ8"/>
    <mergeCell ref="AF5:AG6"/>
    <mergeCell ref="AF4:AK4"/>
    <mergeCell ref="V5:W6"/>
    <mergeCell ref="X5:Y6"/>
    <mergeCell ref="Z5:AA6"/>
    <mergeCell ref="AH5:AI6"/>
    <mergeCell ref="AJ5:AK6"/>
    <mergeCell ref="V7:V8"/>
    <mergeCell ref="W7:W8"/>
    <mergeCell ref="X7:X8"/>
  </mergeCells>
  <printOptions horizontalCentered="1" verticalCentered="1"/>
  <pageMargins left="0.7" right="0.7" top="0.75" bottom="0.75" header="0.3" footer="0.3"/>
  <pageSetup paperSize="8" scale="3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Training Part 1(Baucau)</vt:lpstr>
      <vt:lpstr>Training Part 2 (Lautem)</vt:lpstr>
      <vt:lpstr>Training Part 3 (Same)</vt:lpstr>
      <vt:lpstr>ESTRADA MUNICIPAL</vt:lpstr>
      <vt:lpstr>RRMPIS LAUTEM BUDGET $1M</vt:lpstr>
      <vt:lpstr>RRMPIS LAUTEM BUDGET $1.5M</vt:lpstr>
    </vt:vector>
  </TitlesOfParts>
  <Company>ILO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Day, Vanda</dc:creator>
  <cp:lastModifiedBy>smop lospalos</cp:lastModifiedBy>
  <cp:lastPrinted>2026-03-10T04:45:31Z</cp:lastPrinted>
  <dcterms:created xsi:type="dcterms:W3CDTF">2022-01-26T00:47:14Z</dcterms:created>
  <dcterms:modified xsi:type="dcterms:W3CDTF">2026-03-10T05:14:27Z</dcterms:modified>
</cp:coreProperties>
</file>